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Revenue\SHARING\2026_BUDGET\Եռամսյակներ\Եռամսյակներ_Հավելվածներ\"/>
    </mc:Choice>
  </mc:AlternateContent>
  <bookViews>
    <workbookView xWindow="0" yWindow="0" windowWidth="28770" windowHeight="10950"/>
  </bookViews>
  <sheets>
    <sheet name="1" sheetId="7" r:id="rId1"/>
    <sheet name="2" sheetId="8" r:id="rId2"/>
    <sheet name="3" sheetId="1" r:id="rId3"/>
    <sheet name="4" sheetId="2" r:id="rId4"/>
    <sheet name="5" sheetId="6" r:id="rId5"/>
    <sheet name="6" sheetId="9" r:id="rId6"/>
  </sheets>
  <definedNames>
    <definedName name="_xlnm.Print_Area" localSheetId="3">'4'!$A$1:$H$41</definedName>
    <definedName name="Z_1C7992F6_D161_4A62_8115_0345E0849384_.wvu.PrintArea" localSheetId="3" hidden="1">'4'!$A$1:$H$41</definedName>
    <definedName name="Z_2F786DE5_388F_4F79_98D8_B9D5611A3D1D_.wvu.PrintArea" localSheetId="3" hidden="1">'4'!$A$1:$H$41</definedName>
    <definedName name="Z_5BDDFBD1_616F_4BD6_B87A_FA4FBCD284DB_.wvu.PrintArea" localSheetId="3" hidden="1">'4'!$A$1:$H$41</definedName>
    <definedName name="Z_9860B577_824D_4711_8F5D_BB6D2BD7ABE4_.wvu.PrintArea" localSheetId="3" hidden="1">'4'!$A$1:$H$41</definedName>
    <definedName name="Z_9A6482D4_9076_4DAC_9CF3_83F0132D4C69_.wvu.PrintArea" localSheetId="3" hidden="1">'4'!$A$1:$H$41</definedName>
  </definedNames>
  <calcPr calcId="162913"/>
  <customWorkbookViews>
    <customWorkbookView name="Artak Karapetyan - Personal View" guid="{9860B577-824D-4711-8F5D-BB6D2BD7ABE4}" mergeInterval="0" personalView="1" maximized="1" xWindow="-8" yWindow="-8" windowWidth="1936" windowHeight="1056" activeSheetId="3"/>
    <customWorkbookView name="Narine Norekyan - Personal View" guid="{9A6482D4-9076-4DAC-9CF3-83F0132D4C69}" mergeInterval="0" personalView="1" maximized="1" xWindow="-8" yWindow="-8" windowWidth="1936" windowHeight="1048" activeSheetId="2"/>
    <customWorkbookView name="Ani Davoyan - Personal View" guid="{2F786DE5-388F-4F79-98D8-B9D5611A3D1D}" mergeInterval="0" personalView="1" maximized="1" xWindow="-8" yWindow="-8" windowWidth="1936" windowHeight="1056" activeSheetId="5"/>
    <customWorkbookView name="Arpine Yolchyan - Personal View" guid="{1C7992F6-D161-4A62-8115-0345E0849384}" mergeInterval="0" personalView="1" maximized="1" xWindow="-8" yWindow="-8" windowWidth="1936" windowHeight="1056" activeSheetId="3"/>
    <customWorkbookView name="Marine Shishyan - Personal View" guid="{5BDDFBD1-616F-4BD6-B87A-FA4FBCD284DB}" mergeInterval="0" personalView="1" maximized="1" xWindow="-8" yWindow="-8" windowWidth="1936" windowHeight="1048" activeSheetId="1"/>
  </customWorkbookViews>
</workbook>
</file>

<file path=xl/calcChain.xml><?xml version="1.0" encoding="utf-8"?>
<calcChain xmlns="http://schemas.openxmlformats.org/spreadsheetml/2006/main">
  <c r="G42" i="1" l="1"/>
  <c r="G33" i="1"/>
  <c r="D16" i="2" l="1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G40" i="1" l="1"/>
  <c r="G39" i="1" s="1"/>
  <c r="G32" i="1" s="1"/>
  <c r="B13" i="8"/>
  <c r="B11" i="7" s="1"/>
  <c r="E13" i="9"/>
  <c r="E12" i="9" s="1"/>
  <c r="F13" i="9"/>
  <c r="F12" i="9" s="1"/>
  <c r="D13" i="9"/>
  <c r="D15" i="9"/>
  <c r="D12" i="9" s="1"/>
  <c r="B11" i="8" l="1"/>
  <c r="G41" i="1"/>
  <c r="G12" i="1"/>
  <c r="B12" i="7" s="1"/>
  <c r="B13" i="7" s="1"/>
  <c r="G37" i="1"/>
  <c r="E12" i="2" l="1"/>
  <c r="F12" i="2"/>
  <c r="G12" i="2"/>
  <c r="H12" i="2"/>
  <c r="D12" i="2"/>
  <c r="E14" i="2"/>
  <c r="F14" i="2"/>
  <c r="G14" i="2"/>
  <c r="H14" i="2"/>
  <c r="D14" i="2"/>
  <c r="D32" i="2"/>
  <c r="F26" i="2"/>
  <c r="F16" i="2" s="1"/>
  <c r="F21" i="2"/>
  <c r="F18" i="2"/>
  <c r="G33" i="2" l="1"/>
  <c r="E33" i="2"/>
  <c r="G34" i="2"/>
  <c r="D34" i="2" s="1"/>
  <c r="D33" i="2" l="1"/>
  <c r="D30" i="6"/>
  <c r="D29" i="6"/>
  <c r="F28" i="6"/>
  <c r="F27" i="6" s="1"/>
  <c r="F26" i="6" s="1"/>
  <c r="F25" i="6" s="1"/>
  <c r="F23" i="6" s="1"/>
  <c r="F21" i="6" s="1"/>
  <c r="F19" i="6" s="1"/>
  <c r="F17" i="6" s="1"/>
  <c r="F16" i="6" s="1"/>
  <c r="F14" i="6" s="1"/>
  <c r="E28" i="6"/>
  <c r="E27" i="6" s="1"/>
  <c r="D28" i="6"/>
  <c r="E242" i="2"/>
  <c r="F242" i="2"/>
  <c r="G242" i="2"/>
  <c r="H242" i="2"/>
  <c r="H241" i="2"/>
  <c r="D242" i="2" l="1"/>
  <c r="D27" i="6"/>
  <c r="E26" i="6"/>
  <c r="D26" i="6" l="1"/>
  <c r="E25" i="6"/>
  <c r="D25" i="6" l="1"/>
  <c r="E23" i="6"/>
  <c r="E21" i="6" l="1"/>
  <c r="D23" i="6"/>
  <c r="D21" i="6" l="1"/>
  <c r="E19" i="6"/>
  <c r="D19" i="6" l="1"/>
  <c r="E17" i="6"/>
  <c r="D17" i="6" l="1"/>
  <c r="E16" i="6"/>
  <c r="E14" i="6" l="1"/>
  <c r="D14" i="6" s="1"/>
  <c r="D16" i="6"/>
  <c r="D245" i="2" l="1"/>
  <c r="D244" i="2"/>
  <c r="G241" i="2"/>
  <c r="F241" i="2"/>
  <c r="E241" i="2"/>
  <c r="D241" i="2" s="1"/>
  <c r="D240" i="2"/>
  <c r="D239" i="2"/>
  <c r="D238" i="2"/>
  <c r="D237" i="2"/>
  <c r="H236" i="2"/>
  <c r="H234" i="2" s="1"/>
  <c r="G236" i="2"/>
  <c r="G234" i="2" s="1"/>
  <c r="F236" i="2"/>
  <c r="F234" i="2" s="1"/>
  <c r="E236" i="2"/>
  <c r="E234" i="2"/>
  <c r="F233" i="2"/>
  <c r="F232" i="2" s="1"/>
  <c r="H232" i="2"/>
  <c r="G232" i="2"/>
  <c r="E232" i="2"/>
  <c r="D232" i="2" s="1"/>
  <c r="D231" i="2"/>
  <c r="D230" i="2"/>
  <c r="D229" i="2"/>
  <c r="D228" i="2"/>
  <c r="H227" i="2"/>
  <c r="G227" i="2"/>
  <c r="F227" i="2"/>
  <c r="E227" i="2"/>
  <c r="D227" i="2" s="1"/>
  <c r="F226" i="2"/>
  <c r="D226" i="2"/>
  <c r="D225" i="2"/>
  <c r="D224" i="2"/>
  <c r="D223" i="2"/>
  <c r="D222" i="2"/>
  <c r="H221" i="2"/>
  <c r="G221" i="2"/>
  <c r="D221" i="2" s="1"/>
  <c r="F221" i="2"/>
  <c r="E221" i="2"/>
  <c r="F220" i="2"/>
  <c r="F219" i="2" s="1"/>
  <c r="H219" i="2"/>
  <c r="G219" i="2"/>
  <c r="E219" i="2"/>
  <c r="D218" i="2"/>
  <c r="F217" i="2"/>
  <c r="D217" i="2"/>
  <c r="D216" i="2"/>
  <c r="F215" i="2"/>
  <c r="D215" i="2" s="1"/>
  <c r="D214" i="2"/>
  <c r="H213" i="2"/>
  <c r="G213" i="2"/>
  <c r="E213" i="2"/>
  <c r="F212" i="2"/>
  <c r="D212" i="2"/>
  <c r="F211" i="2"/>
  <c r="D211" i="2"/>
  <c r="F210" i="2"/>
  <c r="D210" i="2" s="1"/>
  <c r="F209" i="2"/>
  <c r="D209" i="2"/>
  <c r="F208" i="2"/>
  <c r="D208" i="2" s="1"/>
  <c r="F207" i="2"/>
  <c r="D207" i="2"/>
  <c r="H206" i="2"/>
  <c r="G206" i="2"/>
  <c r="E206" i="2"/>
  <c r="F205" i="2"/>
  <c r="D205" i="2"/>
  <c r="F204" i="2"/>
  <c r="D204" i="2" s="1"/>
  <c r="F203" i="2"/>
  <c r="D203" i="2"/>
  <c r="F202" i="2"/>
  <c r="D202" i="2"/>
  <c r="H201" i="2"/>
  <c r="G201" i="2"/>
  <c r="E201" i="2"/>
  <c r="D200" i="2"/>
  <c r="H199" i="2"/>
  <c r="G199" i="2"/>
  <c r="F199" i="2"/>
  <c r="E199" i="2"/>
  <c r="F198" i="2"/>
  <c r="D198" i="2"/>
  <c r="F197" i="2"/>
  <c r="D197" i="2"/>
  <c r="F196" i="2"/>
  <c r="D196" i="2" s="1"/>
  <c r="F195" i="2"/>
  <c r="D195" i="2" s="1"/>
  <c r="F194" i="2"/>
  <c r="D194" i="2" s="1"/>
  <c r="F193" i="2"/>
  <c r="D193" i="2" s="1"/>
  <c r="F192" i="2"/>
  <c r="D192" i="2" s="1"/>
  <c r="F191" i="2"/>
  <c r="D191" i="2"/>
  <c r="H190" i="2"/>
  <c r="G190" i="2"/>
  <c r="E190" i="2"/>
  <c r="F189" i="2"/>
  <c r="D189" i="2" s="1"/>
  <c r="H188" i="2"/>
  <c r="G188" i="2"/>
  <c r="E188" i="2"/>
  <c r="E185" i="2" s="1"/>
  <c r="F187" i="2"/>
  <c r="D187" i="2" s="1"/>
  <c r="E184" i="2"/>
  <c r="E183" i="2" s="1"/>
  <c r="D184" i="2"/>
  <c r="H183" i="2"/>
  <c r="G183" i="2"/>
  <c r="F183" i="2"/>
  <c r="E182" i="2"/>
  <c r="E181" i="2" s="1"/>
  <c r="D181" i="2" s="1"/>
  <c r="D182" i="2"/>
  <c r="H181" i="2"/>
  <c r="G181" i="2"/>
  <c r="G178" i="2" s="1"/>
  <c r="F181" i="2"/>
  <c r="E180" i="2"/>
  <c r="D180" i="2" s="1"/>
  <c r="D177" i="2"/>
  <c r="H176" i="2"/>
  <c r="H173" i="2" s="1"/>
  <c r="G176" i="2"/>
  <c r="G173" i="2" s="1"/>
  <c r="F176" i="2"/>
  <c r="E176" i="2"/>
  <c r="E173" i="2" s="1"/>
  <c r="F175" i="2"/>
  <c r="D175" i="2"/>
  <c r="E172" i="2"/>
  <c r="D172" i="2"/>
  <c r="H171" i="2"/>
  <c r="G171" i="2"/>
  <c r="D171" i="2" s="1"/>
  <c r="F171" i="2"/>
  <c r="E171" i="2"/>
  <c r="E170" i="2"/>
  <c r="D170" i="2" s="1"/>
  <c r="E169" i="2"/>
  <c r="D169" i="2"/>
  <c r="E168" i="2"/>
  <c r="D168" i="2" s="1"/>
  <c r="E167" i="2"/>
  <c r="D167" i="2" s="1"/>
  <c r="E166" i="2"/>
  <c r="D166" i="2"/>
  <c r="H165" i="2"/>
  <c r="G165" i="2"/>
  <c r="F165" i="2"/>
  <c r="E164" i="2"/>
  <c r="D164" i="2" s="1"/>
  <c r="H163" i="2"/>
  <c r="G163" i="2"/>
  <c r="F163" i="2"/>
  <c r="E162" i="2"/>
  <c r="E161" i="2" s="1"/>
  <c r="D162" i="2"/>
  <c r="H161" i="2"/>
  <c r="G161" i="2"/>
  <c r="F161" i="2"/>
  <c r="D160" i="2"/>
  <c r="H159" i="2"/>
  <c r="G159" i="2"/>
  <c r="F159" i="2"/>
  <c r="E159" i="2"/>
  <c r="D158" i="2"/>
  <c r="H157" i="2"/>
  <c r="G157" i="2"/>
  <c r="F157" i="2"/>
  <c r="E157" i="2"/>
  <c r="E156" i="2"/>
  <c r="D156" i="2"/>
  <c r="D155" i="2"/>
  <c r="E154" i="2"/>
  <c r="D154" i="2" s="1"/>
  <c r="E153" i="2"/>
  <c r="D153" i="2"/>
  <c r="H152" i="2"/>
  <c r="G152" i="2"/>
  <c r="F152" i="2"/>
  <c r="E151" i="2"/>
  <c r="D151" i="2" s="1"/>
  <c r="F148" i="2"/>
  <c r="D148" i="2" s="1"/>
  <c r="H147" i="2"/>
  <c r="H145" i="2" s="1"/>
  <c r="G147" i="2"/>
  <c r="G145" i="2" s="1"/>
  <c r="E147" i="2"/>
  <c r="E145" i="2" s="1"/>
  <c r="E144" i="2"/>
  <c r="D144" i="2" s="1"/>
  <c r="H143" i="2"/>
  <c r="H141" i="2" s="1"/>
  <c r="G143" i="2"/>
  <c r="G141" i="2" s="1"/>
  <c r="F143" i="2"/>
  <c r="F141" i="2"/>
  <c r="E140" i="2"/>
  <c r="D140" i="2" s="1"/>
  <c r="H139" i="2"/>
  <c r="H137" i="2" s="1"/>
  <c r="G139" i="2"/>
  <c r="G137" i="2" s="1"/>
  <c r="F139" i="2"/>
  <c r="F137" i="2" s="1"/>
  <c r="D136" i="2"/>
  <c r="H135" i="2"/>
  <c r="G135" i="2"/>
  <c r="F135" i="2"/>
  <c r="E135" i="2"/>
  <c r="D134" i="2"/>
  <c r="H133" i="2"/>
  <c r="G133" i="2"/>
  <c r="F133" i="2"/>
  <c r="E133" i="2"/>
  <c r="D132" i="2"/>
  <c r="H131" i="2"/>
  <c r="G131" i="2"/>
  <c r="F131" i="2"/>
  <c r="E131" i="2"/>
  <c r="D130" i="2"/>
  <c r="H129" i="2"/>
  <c r="G129" i="2"/>
  <c r="D129" i="2" s="1"/>
  <c r="F129" i="2"/>
  <c r="E129" i="2"/>
  <c r="D128" i="2"/>
  <c r="H127" i="2"/>
  <c r="G127" i="2"/>
  <c r="F127" i="2"/>
  <c r="E127" i="2"/>
  <c r="D126" i="2"/>
  <c r="E125" i="2"/>
  <c r="E124" i="2" s="1"/>
  <c r="D125" i="2"/>
  <c r="H124" i="2"/>
  <c r="G124" i="2"/>
  <c r="F124" i="2"/>
  <c r="D121" i="2"/>
  <c r="D120" i="2"/>
  <c r="H119" i="2"/>
  <c r="G119" i="2"/>
  <c r="F119" i="2"/>
  <c r="E119" i="2"/>
  <c r="D118" i="2"/>
  <c r="H117" i="2"/>
  <c r="G117" i="2"/>
  <c r="F117" i="2"/>
  <c r="E117" i="2"/>
  <c r="D116" i="2"/>
  <c r="H115" i="2"/>
  <c r="G115" i="2"/>
  <c r="F115" i="2"/>
  <c r="E115" i="2"/>
  <c r="D114" i="2"/>
  <c r="D113" i="2"/>
  <c r="D112" i="2"/>
  <c r="H111" i="2"/>
  <c r="G111" i="2"/>
  <c r="F111" i="2"/>
  <c r="E111" i="2"/>
  <c r="D110" i="2"/>
  <c r="H109" i="2"/>
  <c r="G109" i="2"/>
  <c r="F109" i="2"/>
  <c r="E109" i="2"/>
  <c r="D108" i="2"/>
  <c r="H107" i="2"/>
  <c r="G107" i="2"/>
  <c r="F107" i="2"/>
  <c r="E107" i="2"/>
  <c r="D106" i="2"/>
  <c r="D105" i="2"/>
  <c r="G104" i="2"/>
  <c r="D104" i="2" s="1"/>
  <c r="D103" i="2"/>
  <c r="D102" i="2"/>
  <c r="H101" i="2"/>
  <c r="F101" i="2"/>
  <c r="E101" i="2"/>
  <c r="G100" i="2"/>
  <c r="G99" i="2" s="1"/>
  <c r="D99" i="2" s="1"/>
  <c r="D100" i="2"/>
  <c r="H99" i="2"/>
  <c r="F99" i="2"/>
  <c r="E99" i="2"/>
  <c r="D98" i="2"/>
  <c r="F95" i="2"/>
  <c r="D95" i="2"/>
  <c r="F94" i="2"/>
  <c r="D94" i="2" s="1"/>
  <c r="F93" i="2"/>
  <c r="D93" i="2" s="1"/>
  <c r="H92" i="2"/>
  <c r="G92" i="2"/>
  <c r="E92" i="2"/>
  <c r="D91" i="2"/>
  <c r="F90" i="2"/>
  <c r="D90" i="2"/>
  <c r="F89" i="2"/>
  <c r="D89" i="2" s="1"/>
  <c r="F88" i="2"/>
  <c r="D88" i="2"/>
  <c r="H87" i="2"/>
  <c r="G87" i="2"/>
  <c r="E87" i="2"/>
  <c r="D86" i="2"/>
  <c r="H85" i="2"/>
  <c r="G85" i="2"/>
  <c r="F85" i="2"/>
  <c r="E85" i="2"/>
  <c r="D84" i="2"/>
  <c r="F83" i="2"/>
  <c r="D83" i="2" s="1"/>
  <c r="H82" i="2"/>
  <c r="G82" i="2"/>
  <c r="E82" i="2"/>
  <c r="F81" i="2"/>
  <c r="F80" i="2" s="1"/>
  <c r="D81" i="2"/>
  <c r="H80" i="2"/>
  <c r="G80" i="2"/>
  <c r="E80" i="2"/>
  <c r="D79" i="2"/>
  <c r="F78" i="2"/>
  <c r="D78" i="2" s="1"/>
  <c r="F77" i="2"/>
  <c r="D77" i="2"/>
  <c r="F76" i="2"/>
  <c r="D76" i="2" s="1"/>
  <c r="H75" i="2"/>
  <c r="G75" i="2"/>
  <c r="E75" i="2"/>
  <c r="F74" i="2"/>
  <c r="D74" i="2" s="1"/>
  <c r="H73" i="2"/>
  <c r="G73" i="2"/>
  <c r="D73" i="2" s="1"/>
  <c r="F73" i="2"/>
  <c r="E73" i="2"/>
  <c r="D72" i="2"/>
  <c r="D71" i="2"/>
  <c r="H70" i="2"/>
  <c r="G70" i="2"/>
  <c r="F70" i="2"/>
  <c r="E70" i="2"/>
  <c r="F69" i="2"/>
  <c r="D69" i="2"/>
  <c r="H68" i="2"/>
  <c r="G68" i="2"/>
  <c r="F68" i="2"/>
  <c r="E68" i="2"/>
  <c r="D67" i="2"/>
  <c r="F66" i="2"/>
  <c r="D66" i="2" s="1"/>
  <c r="F65" i="2"/>
  <c r="F64" i="2" s="1"/>
  <c r="D65" i="2"/>
  <c r="H64" i="2"/>
  <c r="G64" i="2"/>
  <c r="E64" i="2"/>
  <c r="D63" i="2"/>
  <c r="F62" i="2"/>
  <c r="F61" i="2" s="1"/>
  <c r="H61" i="2"/>
  <c r="G61" i="2"/>
  <c r="E61" i="2"/>
  <c r="E59" i="2" s="1"/>
  <c r="E56" i="2"/>
  <c r="D56" i="2"/>
  <c r="H55" i="2"/>
  <c r="G55" i="2"/>
  <c r="F55" i="2"/>
  <c r="E55" i="2"/>
  <c r="G54" i="2"/>
  <c r="G53" i="2" s="1"/>
  <c r="H53" i="2"/>
  <c r="F53" i="2"/>
  <c r="E53" i="2"/>
  <c r="E52" i="2"/>
  <c r="E51" i="2" s="1"/>
  <c r="H51" i="2"/>
  <c r="G51" i="2"/>
  <c r="F51" i="2"/>
  <c r="F48" i="2"/>
  <c r="F47" i="2" s="1"/>
  <c r="H47" i="2"/>
  <c r="G47" i="2"/>
  <c r="E47" i="2"/>
  <c r="F46" i="2"/>
  <c r="D46" i="2" s="1"/>
  <c r="H45" i="2"/>
  <c r="G45" i="2"/>
  <c r="E45" i="2"/>
  <c r="D44" i="2"/>
  <c r="H43" i="2"/>
  <c r="G43" i="2"/>
  <c r="F43" i="2"/>
  <c r="E43" i="2"/>
  <c r="D42" i="2"/>
  <c r="H41" i="2"/>
  <c r="G41" i="2"/>
  <c r="F41" i="2"/>
  <c r="E41" i="2"/>
  <c r="F40" i="2"/>
  <c r="F39" i="2" s="1"/>
  <c r="H39" i="2"/>
  <c r="G39" i="2"/>
  <c r="E39" i="2"/>
  <c r="D39" i="2" s="1"/>
  <c r="D82" i="2" l="1"/>
  <c r="D41" i="2"/>
  <c r="D43" i="2"/>
  <c r="D48" i="2"/>
  <c r="D64" i="2"/>
  <c r="D111" i="2"/>
  <c r="D159" i="2"/>
  <c r="F149" i="2"/>
  <c r="D183" i="2"/>
  <c r="D234" i="2"/>
  <c r="D55" i="2"/>
  <c r="F82" i="2"/>
  <c r="H122" i="2"/>
  <c r="D135" i="2"/>
  <c r="F188" i="2"/>
  <c r="D40" i="2"/>
  <c r="E37" i="2"/>
  <c r="D54" i="2"/>
  <c r="D62" i="2"/>
  <c r="F87" i="2"/>
  <c r="D87" i="2" s="1"/>
  <c r="D107" i="2"/>
  <c r="D124" i="2"/>
  <c r="D133" i="2"/>
  <c r="H178" i="2"/>
  <c r="F75" i="2"/>
  <c r="D75" i="2" s="1"/>
  <c r="F92" i="2"/>
  <c r="D92" i="2" s="1"/>
  <c r="D119" i="2"/>
  <c r="D131" i="2"/>
  <c r="G149" i="2"/>
  <c r="H185" i="2"/>
  <c r="D127" i="2"/>
  <c r="D157" i="2"/>
  <c r="D201" i="2"/>
  <c r="D220" i="2"/>
  <c r="D233" i="2"/>
  <c r="D70" i="2"/>
  <c r="G185" i="2"/>
  <c r="D199" i="2"/>
  <c r="D68" i="2"/>
  <c r="F201" i="2"/>
  <c r="F185" i="2" s="1"/>
  <c r="D185" i="2" s="1"/>
  <c r="D219" i="2"/>
  <c r="G59" i="2"/>
  <c r="D109" i="2"/>
  <c r="E165" i="2"/>
  <c r="D165" i="2" s="1"/>
  <c r="H59" i="2"/>
  <c r="D161" i="2"/>
  <c r="H149" i="2"/>
  <c r="E178" i="2"/>
  <c r="E163" i="2"/>
  <c r="D163" i="2" s="1"/>
  <c r="D236" i="2"/>
  <c r="H49" i="2"/>
  <c r="D85" i="2"/>
  <c r="F122" i="2"/>
  <c r="E152" i="2"/>
  <c r="E149" i="2" s="1"/>
  <c r="D149" i="2" s="1"/>
  <c r="F173" i="2"/>
  <c r="D173" i="2" s="1"/>
  <c r="F190" i="2"/>
  <c r="D190" i="2" s="1"/>
  <c r="F45" i="2"/>
  <c r="D45" i="2" s="1"/>
  <c r="D52" i="2"/>
  <c r="G122" i="2"/>
  <c r="D176" i="2"/>
  <c r="F178" i="2"/>
  <c r="D178" i="2" s="1"/>
  <c r="D188" i="2"/>
  <c r="H96" i="2"/>
  <c r="H57" i="2" s="1"/>
  <c r="D117" i="2"/>
  <c r="G37" i="2"/>
  <c r="D53" i="2"/>
  <c r="D115" i="2"/>
  <c r="F96" i="2"/>
  <c r="H37" i="2"/>
  <c r="D47" i="2"/>
  <c r="F49" i="2"/>
  <c r="D61" i="2"/>
  <c r="F59" i="2"/>
  <c r="F57" i="2" s="1"/>
  <c r="D51" i="2"/>
  <c r="E49" i="2"/>
  <c r="G49" i="2"/>
  <c r="D80" i="2"/>
  <c r="G101" i="2"/>
  <c r="D101" i="2" s="1"/>
  <c r="E122" i="2"/>
  <c r="E139" i="2"/>
  <c r="E143" i="2"/>
  <c r="F213" i="2"/>
  <c r="D213" i="2" s="1"/>
  <c r="G96" i="2"/>
  <c r="G57" i="2" s="1"/>
  <c r="F147" i="2"/>
  <c r="F206" i="2"/>
  <c r="D206" i="2" s="1"/>
  <c r="E96" i="2"/>
  <c r="E57" i="2" s="1"/>
  <c r="G30" i="1"/>
  <c r="G28" i="1"/>
  <c r="G26" i="1"/>
  <c r="G24" i="1"/>
  <c r="G21" i="1"/>
  <c r="F37" i="2" l="1"/>
  <c r="G35" i="2"/>
  <c r="G10" i="2" s="1"/>
  <c r="G20" i="1"/>
  <c r="D122" i="2"/>
  <c r="D152" i="2"/>
  <c r="D37" i="2"/>
  <c r="H35" i="2"/>
  <c r="H10" i="2" s="1"/>
  <c r="F145" i="2"/>
  <c r="D145" i="2" s="1"/>
  <c r="D147" i="2"/>
  <c r="E141" i="2"/>
  <c r="D141" i="2" s="1"/>
  <c r="D143" i="2"/>
  <c r="E137" i="2"/>
  <c r="E35" i="2" s="1"/>
  <c r="E10" i="2" s="1"/>
  <c r="D139" i="2"/>
  <c r="D49" i="2"/>
  <c r="D57" i="2"/>
  <c r="D96" i="2"/>
  <c r="D59" i="2"/>
  <c r="G17" i="1"/>
  <c r="F35" i="2" l="1"/>
  <c r="F10" i="2" s="1"/>
  <c r="D137" i="2"/>
  <c r="D35" i="2" l="1"/>
  <c r="D10" i="2" s="1"/>
  <c r="G16" i="1" l="1"/>
  <c r="G14" i="1"/>
  <c r="G13" i="1" s="1"/>
</calcChain>
</file>

<file path=xl/sharedStrings.xml><?xml version="1.0" encoding="utf-8"?>
<sst xmlns="http://schemas.openxmlformats.org/spreadsheetml/2006/main" count="452" uniqueCount="336">
  <si>
    <t>հազար դրամներով</t>
  </si>
  <si>
    <t>Ծրագրային դասիչը</t>
  </si>
  <si>
    <t>ԸՆԴԱՄԵՆԸ</t>
  </si>
  <si>
    <t xml:space="preserve"> Ցուցանիշների փոփոխություն (ավելացումները բերված են դրական նշանով, իսկ նվազեցումները` փակագծերում)</t>
  </si>
  <si>
    <t>______________ ի    ___Ն որոշման</t>
  </si>
  <si>
    <t xml:space="preserve">Բյուջետային գլխավոր կարգադրիչների, ծրագրերի, միջոցառումների, միջոցառումները կատարող պետական մարմինների և ուղղությունների անվանումները </t>
  </si>
  <si>
    <t>Ընդամենը</t>
  </si>
  <si>
    <t>Կառուցման աշխատանքներ</t>
  </si>
  <si>
    <t>Նախագծահետազոտական, գեոդեզիա-քարտեզագրական աշխատանքներ</t>
  </si>
  <si>
    <t>Ոչ ֆինանսական այլ ակտիվերի ձեռքբերում</t>
  </si>
  <si>
    <t>ծրագիրը</t>
  </si>
  <si>
    <t>միջոցառումը</t>
  </si>
  <si>
    <t xml:space="preserve">այդ թվում՝ </t>
  </si>
  <si>
    <t xml:space="preserve"> հազար դրամներով</t>
  </si>
  <si>
    <t xml:space="preserve"> ԲԳԿ</t>
  </si>
  <si>
    <t xml:space="preserve"> Ծրագրային դասիչը</t>
  </si>
  <si>
    <t xml:space="preserve"> ԲԳԿ/Ծրագրի /միջոցառման անվանումը</t>
  </si>
  <si>
    <t xml:space="preserve"> Վերջնական արդյունքի նկարագրությունը/Միջոցառման տեսակը</t>
  </si>
  <si>
    <t xml:space="preserve"> Ծրագիր</t>
  </si>
  <si>
    <t xml:space="preserve"> Միջոցառում</t>
  </si>
  <si>
    <t>Ծառայությունների մատուցում</t>
  </si>
  <si>
    <t>Տրանսֆերտների տրամադրում</t>
  </si>
  <si>
    <t>ՀՀ էկոնոմիկայի նախարարություն</t>
  </si>
  <si>
    <t>ՀՀ կառավարություն</t>
  </si>
  <si>
    <t>1139</t>
  </si>
  <si>
    <t>ՀՀ կառավարության պահուստային ֆոնդ</t>
  </si>
  <si>
    <t>Պետական բյուջեում չկանխատեսված, ինչպես նաեւ բյուջետային երաշխիքների ապահովման ծախսերի ֆինանսավորման ապահովում</t>
  </si>
  <si>
    <t>Պահուստային ֆոնդի կառավարման արդյունավետության և թափանցիկության ապահովում</t>
  </si>
  <si>
    <t>1139 - 11001</t>
  </si>
  <si>
    <t>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</si>
  <si>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t xml:space="preserve"> Ծրագրի նպատակը/Միջոցառման նկարագրությունը</t>
  </si>
  <si>
    <t>այդ թվում`</t>
  </si>
  <si>
    <t xml:space="preserve"> այդ թվում`</t>
  </si>
  <si>
    <t xml:space="preserve"> ԸՆԴԱՄԵՆԸ</t>
  </si>
  <si>
    <t>1108</t>
  </si>
  <si>
    <t>Հանրային ֆինանսների կառավարման բնագավառում պետական քաղաքականության մշակում, ծրագրերի համակարգում և մոնիտորինգ</t>
  </si>
  <si>
    <t>Հարկաբյուջետային քաղաքականության մշակում և իրականացման ապահովում, հանրային ֆինանսների արդյունավետ կառավարում</t>
  </si>
  <si>
    <t>Հանրային ֆինանսների ձևավորման, բաշխման և օգտագործման արդյունավետության աճ, ֆինանսական կարգապահության բարելավում</t>
  </si>
  <si>
    <t>1108 - 11001</t>
  </si>
  <si>
    <t>Պլանավորում, բյուջետավորում, գանձապետական ծառայություններ, պետական պարտքի կառավարում, տնտեսական և հարկաբյուջետային քաղաքականության մշակում և մոնիտորինգ</t>
  </si>
  <si>
    <t>Քաղաքականության մշակման և դրա կատարման համակարգման, պետական ծրագրերի պլանավորման, մշակման, իրականացման և մոնիտորինգի (վերահսկման) ծառայություններ</t>
  </si>
  <si>
    <t>ՀՀ ֆինանսների նախարարություն</t>
  </si>
  <si>
    <t xml:space="preserve">ՀՀ կառավարության 2025 թվականի </t>
  </si>
  <si>
    <t>ՀՀ պետական եկամուտների կոմիտե</t>
  </si>
  <si>
    <t>1023 - 11015</t>
  </si>
  <si>
    <t>Հարկային և մաքսային ծառայություններ</t>
  </si>
  <si>
    <t>Հարկային և մաքսային միասնական պետական քաղաքականության իրականացում« հարկային և մաքսային օրենսդրության ամբողջական և համահավասար կիրառում</t>
  </si>
  <si>
    <t>Արդյունավետ հարկային և մաքսային հսկողության իրականացում« պետական բյուջեի եկամուտների ապահովում</t>
  </si>
  <si>
    <t>Հարկ վճարելու մշակույթի զարգացման ու ՊԵԿ գործունեության վերաբերյալ հանրային իրազեկման միջոցառումների իրականացում</t>
  </si>
  <si>
    <t>Հարկ վճարելու մշակույթի զարգացման ու ՊԵԿ գործունեության հանրային  իրազեկման շրջանակում հեռուստահաղորդումների, պանելային քննարկումների կազմակերպում և երկխոսության հարթակի ստեղծում</t>
  </si>
  <si>
    <t>Ներդրումների և արտահանման խթանման ծրագիր</t>
  </si>
  <si>
    <t>1165-12011</t>
  </si>
  <si>
    <t>Հայաստանի Հանարապետությունից արտահանման սահմանափակման ներքո գտնվող ՀՀ ծագման որոշ ապրանքների՝ Հայաստանի Հանրապետությունում իրացմանն աջակցություն</t>
  </si>
  <si>
    <t>Թիրախային ապրանքներ արտադրող և սեփական արտադրանքը իրացնող տնտեսավարողներին օժանդակության տրամադրում՝ ՀՀ-ում իրացման յուրաքանչյուր տոննայի համար՝ 10.0 հազար դրամի չափով</t>
  </si>
  <si>
    <t>Ներդրումների ներգրավման և արտահանման խթանում</t>
  </si>
  <si>
    <t>Նախորդ տարվա համեմատ ներդրումների և արտահանման ծավալների աճ</t>
  </si>
  <si>
    <t>1165-12009</t>
  </si>
  <si>
    <t>Արտահանման խթանման նպատակով օժանդակության տրամադրում</t>
  </si>
  <si>
    <t>Արտահանման խթանման նպատակով արտահանողին ապրանքի արտահանումից հետո ներմուծվող երկրի օրենսդրությամբ այդ ապրանքի համար սահմանված մաքսատուրքի դրույքաչափին համապատասխան հաշվարկված գումարի չափով օժանդակության տրամադրում</t>
  </si>
  <si>
    <t>ՀՀ կրթության, գիտության, մշակույթի և սպորտի նախարարություն</t>
  </si>
  <si>
    <t>Մասնագիտական կրթության և ուսուցման ծրագիր</t>
  </si>
  <si>
    <t>Աշխատաշուկայի արդի պահանջներին համապատասխան արհեստագործական և միջին մասնագիտական կրթության որակավորում ունեցող մասնագետների պատրաստում, կրթության մատչելիության ապահովում:</t>
  </si>
  <si>
    <t>Արհեստագործական և միջին մասնագիտական կրթության  գրավչության բարձրացում, մատչելի և մրցունակ արհեստագործական և միջին մասնագիտական կրթության ապահովում</t>
  </si>
  <si>
    <t>1045 - 32001</t>
  </si>
  <si>
    <t>Մասնագիտական ուսումնական հաստատությունների շենքային պայմանների բարելավում</t>
  </si>
  <si>
    <t>Մասնագիտական ուսումնական հաստատությունների շենքերի հիմնանորոգման և նախագծման (շինարարական աշխատանքներ, ջեռուցման համակարգի ստեղծում, ներքին հարդարում, տարածքի բարեկարգում) աշխատանքների իրականացում</t>
  </si>
  <si>
    <t>Այլ պետական կազմակերպությունների կողմից օգտագործվող ոչ ֆինանսական ակտիվների հետ գործառնություններ</t>
  </si>
  <si>
    <t>Մասնագիտական ուսումնական հաստատությունների շենքերի կառուցում</t>
  </si>
  <si>
    <t>Մասնագիտական ուսումնական հաստատությունների շենքերի (մասնաշենքերի) կառուցման և նախագծման աշխատանքների իրականացում</t>
  </si>
  <si>
    <t>1045 - 32005</t>
  </si>
  <si>
    <t>Ապահով դպրոց</t>
  </si>
  <si>
    <t>Դպրոցներին սպառնացող աղետների ռիսկի կառավարման կարողությունների հզորացում, դպրոցի անձնակազմի և աշակերտների անվտանգության ապահովման մակարդակի բարձրացում՛ կիրառելով ներառական և երեխայակենտրոն մոտեցում</t>
  </si>
  <si>
    <t>Դպրոցական միջավայրի բարելավում</t>
  </si>
  <si>
    <t>1183 - 32007</t>
  </si>
  <si>
    <t>Հանրակրթական կրթություն իրականացնող ուսումնական հաստատությունների նոր մարզադահլիճների կառուցում</t>
  </si>
  <si>
    <t>Հանրակրթական ուսուցում իրականացնող ուսումնական հաստատությունների նոր մարզադահլիճների կառուցման նախագծանախահաշվային փաստաթղթերի մշակում</t>
  </si>
  <si>
    <t>Կրթության որակի ապահովում</t>
  </si>
  <si>
    <t>Ընթացիկ աշխատանքների, բարեփոխումների և նոր նախաձեռնությունների միջոցով ֆորմալ և ոչ-ֆորմալ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</si>
  <si>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վերջնարդյունքների որակի բարելավում ըստ ներպետական և միջազգային ցուցիչների</t>
  </si>
  <si>
    <t>1192 - 32006</t>
  </si>
  <si>
    <t>Համաշխարհային բանկի աջակցությամբ իրականացվող «Կրթության բարելավման  ծրագրի լրացուցիչ ֆինանսավորում» վարկային ծրագրի շրջանակներում կապիտալ ներդրումներ  հանրակրթական ուսումնական հաստատություններում</t>
  </si>
  <si>
    <t>Կապիտալ ներդրումներ ավագ, միջնակարգ և հիմնական դպրոցներում</t>
  </si>
  <si>
    <t>Մարզերի մշակութային զարգացման ծրագիր</t>
  </si>
  <si>
    <t>Մարզերում մշակութային կյանքի և մշակութաստեղծ գործունեության ակտիվացում</t>
  </si>
  <si>
    <t>Համայնքներում մշակույթի հասանելիության և մշակութային կյանքին մարզային բնակչության ընդգրկվածության ընդլայնում</t>
  </si>
  <si>
    <t>1196 - 12001</t>
  </si>
  <si>
    <t>Աջակցություն համայնքներին մշակութային հաստատությունների շենքային պայմանների բարելավման համար</t>
  </si>
  <si>
    <t>Համայնքային ենթակայության մշակույթի տների՝ ակումբների և կենտրոնների հիմնանորոգում՝ կառուցում և նախագծում</t>
  </si>
  <si>
    <t>1236</t>
  </si>
  <si>
    <t>Հանրակրթական և նախադպրոցական հաստատությունների հիմնում, կառուցում, բարելավում</t>
  </si>
  <si>
    <t>Առնվազն 300 դպրոցի և 500 մանկապարտեզի կառուցման, վերակառուցման, հիմնանորոգման ծրագրերի իրականացում ՀՀ պետական բյուջեի միջոցների շրջանակներում</t>
  </si>
  <si>
    <t xml:space="preserve"> Կրթական միջավայրի բարելավում</t>
  </si>
  <si>
    <t>1236 - 32002</t>
  </si>
  <si>
    <t>Մանկապարտեզների շենքերի վերակառուցում, հիմնանորոգում</t>
  </si>
  <si>
    <t>Նախադպրոցական կրթության հասանելիության ապահովման նպատակով՛ մանկապարտեզների շենքերի (մասնաշենքերի), վերակառուցում, հիմնանորոգում և նախագծում</t>
  </si>
  <si>
    <t>«ՀԱՅԱUՏԱՆԻ ՀԱՆՐԱՊԵՏՈՒԹՅԱՆ 2026 ԹՎԱԿԱՆԻ ՊԵՏԱԿԱՆ ԲՅՈՒՋԵԻ ՄԱUԻՆ» ՀԱՅԱUՏԱՆԻ ՀԱՆՐԱՊԵՏՈՒԹՅԱՆ OՐԵՆՔԻ N 1 ՀԱՎԵԼՎԱԾԻ N 3 ԱՂՅՈՒՍԱԿՈՒՄ ԿԱՏԱՐՎՈՂ ՓՈՓՈԽՈՒԹՅՈՒՆՆԵՐԸ ԵՎ ԼՐԱՑՈՒՄՆԵՐԸ</t>
  </si>
  <si>
    <t>ՀՀ ԿՐԹՈՒԹՅԱՆ, ԳԻՏՈՒԹՅԱՆ, ՄՇԱԿՈՒՅԹԻ ԵՎ ՍՊՈՐՏԻ ՆԱԽԱՐԱՐՈՒԹՅՈՒՆ</t>
  </si>
  <si>
    <t>Երևան քաղաք</t>
  </si>
  <si>
    <t>«Երևանի հ․8 արհեստագործական պետական ուսումնարան» ՊՈԱԿ</t>
  </si>
  <si>
    <t>ՀՀ Արարատի մարզ</t>
  </si>
  <si>
    <t>«Մասիսի պետական գյուղատնտեսական քոլեջ» ՊՈԱԿ</t>
  </si>
  <si>
    <t>ՀՀ Գեղարքունիքի մարզ</t>
  </si>
  <si>
    <t>«Գավառի պետական բժշկական քոլեջ» ՊՈԱԿ</t>
  </si>
  <si>
    <t>ՀՀ Շիրակի մարզ</t>
  </si>
  <si>
    <t>«Արթիկի պետական քոլեջ» ՊՈԱԿ</t>
  </si>
  <si>
    <t>ՀՀ Տավուշի մարզ</t>
  </si>
  <si>
    <t>«Դիլիջանի բազմագործառութային պետական քոլեջ» ՊՈԱԿ</t>
  </si>
  <si>
    <t xml:space="preserve"> Մասնագիտական ուսումնական հաստատությունների շենքերի կառուցում</t>
  </si>
  <si>
    <t>«Երևանի զարդարվեստի պետական արհեստագործական ուսումնարան» ՊՈԱԿ</t>
  </si>
  <si>
    <t>ՀՀ Արմավիրի մարզ</t>
  </si>
  <si>
    <t>«Արմավիրի տարածաշրջանային պետական քոլեջ» ՊՈԱԿ</t>
  </si>
  <si>
    <t>«Գավառի ակադեմիկոս Ա. Թամամշևի անվան պետական գյուղատնտեսական քոլեջ» ՊՈԱԿ</t>
  </si>
  <si>
    <t xml:space="preserve"> Հուշարձանների ամրակայում, նորոգում և վերականգնում</t>
  </si>
  <si>
    <t>1. Վերականգնողական աշխատանքներ</t>
  </si>
  <si>
    <t>որից`</t>
  </si>
  <si>
    <t>Ա. Սպենդիարյանի անվան օպերայի և բալետի ազգային ակադեմիական թատրոն</t>
  </si>
  <si>
    <t>Ա. Սպենդիարյանի անվան օպերայի և բալետի ազգային ակադեմիական թատրոնի և «Ա. Խաչատրյան» համերգասրահի ինժեներական ենթակառուցվածքների և տանիքի հիմնանորոգում</t>
  </si>
  <si>
    <t>ՀՀ Արագածոնի մարզ</t>
  </si>
  <si>
    <t>Փարպի համայնքի 5-րդ դարի Ծիրանավոր եկեղեցու ամրակայում, վերականգնում և տարածքի բարեկարգում</t>
  </si>
  <si>
    <t>Ամբերդ ամրոցի հրատապ ամրակայման ենթակա հատվածների նորոգում և վերականգնում</t>
  </si>
  <si>
    <t>ՀՀ Արագածոտնի մարզի Աշտարակի Ծիրանավոր եկեղեցու ամրակայում, նորոգում և վերականգնում</t>
  </si>
  <si>
    <t>Հավուց Թառ վանական համալիրի Սբ. Ամենափրկիչ եկեղեցու ամրակայում, նորոգում և վերականգնում</t>
  </si>
  <si>
    <t xml:space="preserve"> Այգեշատ համայնքի Թարգմանչաց եկեղեցու վերականգնում </t>
  </si>
  <si>
    <t>Ապագա գյուղի մշակույթի տան Սարգիս Մուրադյանի «Սասունցիներ» որմնանկարի (պետ.ցուցիչ 3.12.1) ամրակայում և վերականգնում</t>
  </si>
  <si>
    <t>Բերդկունքի Սպիտակ բերդի նորոգում, ամրակայում և վերականգնում</t>
  </si>
  <si>
    <t>ՀՀ Լոռու մարզ</t>
  </si>
  <si>
    <t>Լոռու մարզի Քաղաքատեղի Լոռի Բերդի միջնաբերդի պարիսպների ամրակայում և վերականգնում</t>
  </si>
  <si>
    <t>Ալավերդի համայնքի Կաճաճկուտ բնակավայրի Սեդվի վանական համալիրի փլուզված եռահարկ աշտարակի նորոգում, ամրակայում, վերականգնում և տարածքի բարեկարգում</t>
  </si>
  <si>
    <t>Օձունի տաճարի կոթող-մահարձանի մենասյուների տեղափոխում և կրկնօրինակների պատրաստում</t>
  </si>
  <si>
    <t>Յաղդան գյուղի 13-րդ դարի կամրջ նորոգուման, ամրակայում և վերականգնում</t>
  </si>
  <si>
    <t>ՀՀ Կոտայքի մարզ</t>
  </si>
  <si>
    <t>Պտղնու տաճարի նորոգում, ամրակայում և մասնակի վերականգնում</t>
  </si>
  <si>
    <t>Աշոցք համայնքի Կրասար բնակավայրի 19-րդ դարի կամրջի նորոգում, ամրակայում և վերականգնում</t>
  </si>
  <si>
    <t xml:space="preserve">«Պեմզաշեն» եկեղեցական համալիրի  ամրակայում, նորոգում և վերականգնում </t>
  </si>
  <si>
    <t>ՀՀ Սյունիքի մարզ</t>
  </si>
  <si>
    <t>Բաղաբերդ ամրոցի ամրակայման, նորոգման, վերականգնման գիտանախագծային փաստաթղթերի կազմում</t>
  </si>
  <si>
    <t>ՀՀ Վայոց Ձորի մարզ</t>
  </si>
  <si>
    <t xml:space="preserve">Շատիվանքի վանական համալիրի ամրակայում, մասնակի վերականգնում և տարածքի բարեկարգում </t>
  </si>
  <si>
    <t>Եղեգիս խոշորացված համայնքի Շատիվանքի Սբ․ Սիոն եկեղեցու որմնանկարների ամրակայում և վերականգնում</t>
  </si>
  <si>
    <t>Հորսի  իշխան Չեսար Օրբելյանի ապարանքի  ամրակայում, նորոգում, վերականգնում</t>
  </si>
  <si>
    <t>Աղնջաձորի Օրբելյանների քարավանատան (Սելիմի) ամրակայում, նորոգում, վերականգնում և տարածքի բարեկարգում</t>
  </si>
  <si>
    <t>Տավուշի մարզի «Սրվեղ» վանական համալիրի ամրակայում, վերականգնում և տարածքի բարեկարգում</t>
  </si>
  <si>
    <t>Տավուշի մարզի «Տավուշ» ամրոցի պարիսպների, կից կառույցների, եկեղեցու ամրակայում, վերականգնում և տարածքի բարեկարգում</t>
  </si>
  <si>
    <t>Նավուր գյուղի 19-րդ դարի «Քարակամուրջ» (Հախումի) կամրջի նորոգում, ամրակայում և վերականգնում</t>
  </si>
  <si>
    <t>2. Վավերագրման և ուսումնասիրման աշխատանքներ, (այդ թվում՝ հետախուզում և պեղում), գիտանախագծային փաստաթղթերի կազմում և փորձաքննում</t>
  </si>
  <si>
    <t>Հայաստանի ուրարտական 7 արձանագրությունների (Մարմաշեն, Սպանդարյան, Զվարթնոց, Գառնի, Լճաշեն, Օձաբերդ, Ծովակ), Ագարակի ուրարտական դմաբարանի, Գառնիի և Արմավիրի հունական արձանագրությունների ամրակայում, պահպանություն (կոնսերվցիա) և տարածքների բարեկարգում</t>
  </si>
  <si>
    <t>ՀՀ Արագածոտնի մարզ</t>
  </si>
  <si>
    <t xml:space="preserve">«Սերկևիլ» գյուղատեղի 11-13 դդ. Ամրոցի և Սբ. Գրիգոր Լուսավորիչ եկեղեցու ամրակայման, նորոգման և վերականգնման գիտանախագծային փաստաթղթեր </t>
  </si>
  <si>
    <t>«Սերկևիլ» գյուղատեղի 11-13 դդ. Ամրոցի և Սբ. Գրիգոր Լուսավորիչ եկեղեցու տարածքի պեղման աշխատանքներ</t>
  </si>
  <si>
    <t>Թալինի քարավանատան ամրակայման, նորոգման և վերականգնման գիտանախագծային փաստաթղթեր</t>
  </si>
  <si>
    <t>Տիրինկատարի հնավայրի հնագիտական պեղումներ</t>
  </si>
  <si>
    <t>Օհանավան գյուղի ժայռափոր համալիրի պեղման, մաքրման աշխատանքներ, քարայրների ամրակայման, տարածքի բարեկարգման գիտանախագծային փաստաթղթեր</t>
  </si>
  <si>
    <t>Վերին Դվին գյուղի Ասորական Ումրա եկեղեցու ամրակայման, նորոգման և վերականգնման գիտանախագծային փաստաթղթեր</t>
  </si>
  <si>
    <t>Զվարթնոցի տաճարի չօգտագործված բեկորների ցուցադրության համար նախատեսված ժամանակակից նյութերով և ճարտարապետական լուծումներով ցուցասրահի  կառուցման գիտանախագծային փաստաթղթեր</t>
  </si>
  <si>
    <t>Լոռի Բերդի հնագիտական պեղումներ</t>
  </si>
  <si>
    <t>Դսեղ համայնքի Բարձրաքաշի Սբ Գրիգոր վանական համալիրի կառույցների ամրակայման, նորոգման և մասնակի վերականգնման գիտանախագծային փաստաթղթեր</t>
  </si>
  <si>
    <t>Դսեղ համայնքի Բարձրաքաշի Սբ Գրիգոր վանական համալիրի ինժեներաերկրաբանական հետազոտություն</t>
  </si>
  <si>
    <t>Կամարիս գյուղի Սբ. Հակոբ  եկեղեցու որմնանկարների ամրակայման և վերականգնման գիտանախագծային փաստաթղթեր</t>
  </si>
  <si>
    <t>Երերույքի տաճարի հարակից քարայրների պեղման-մաքրման աշխատանքներ, քարայրների ամրակայման, տարածքի բարեկարգման գիտանախագծային փաստաթղթեր</t>
  </si>
  <si>
    <t>Տաթևի վանքի  որմնանկարների ամրակայման և վերականգնման գիտանախագծային փաստաթղթեր</t>
  </si>
  <si>
    <t>Երիցվանքի հնագիտական պեղումներ, համալիրի նորոգման, ամրակայման, վերականգնման և տարածքի բարեկարգման գիտանախագծային փաստաթղթեր</t>
  </si>
  <si>
    <t>Մարզական օբյեկտների շինարարություն</t>
  </si>
  <si>
    <t>Արթուր Աբրահամի անվան մարզահամալիր</t>
  </si>
  <si>
    <t>Հեծանվային սպորտի և Հրանտ Շահինյանի անվան  սպորտային, գեղարվեստական մարմնամարզության  և ակրոբատիկայի օլիմպիական մանկապատանեկան մարզադպրոցներ</t>
  </si>
  <si>
    <t>Մարզական համալիր Աշտարակում</t>
  </si>
  <si>
    <t>Մարզական համալիր Արարատում</t>
  </si>
  <si>
    <t>Մարզական համալիր Արմավիրում</t>
  </si>
  <si>
    <t>Մարզական համալիր Մարտունիում</t>
  </si>
  <si>
    <t>Մարզական համալիր Եղեգնաձորում</t>
  </si>
  <si>
    <t>Ֆուտբոլի ենթակառուցվածքների զարգացման նպատակով մարզադաշտերի և մարզադպրոցների կառուցում</t>
  </si>
  <si>
    <t>Ֆուտբոլի մարզադաշտ Վանաձորում ՈՒԵՖԱ ստանդարտներով</t>
  </si>
  <si>
    <t>«Արամ Մանուկյանի անվան մարզառազմական մասնագիտացված դպրոց» ՊՈԱԿ</t>
  </si>
  <si>
    <t xml:space="preserve"> Աջակցություն համայնքներին մշակութային հաստատությունների շենքային պայմանների  բարելավման համար</t>
  </si>
  <si>
    <t>«Արթիկի Տ․ Մանսուրյանի անվան մշակույթի կենտրոն» ՀՈԱԿ</t>
  </si>
  <si>
    <t>Մանկապարտեզների նոր շենքերի կառուցում</t>
  </si>
  <si>
    <t>Ապարան համայնքի Մելիքգյուղ բնակավայրում 75 տեղ հզորությամբ մանկապարտեզ</t>
  </si>
  <si>
    <t>Թալին համայնքի Կաքավաձոր բնակավայրում 75 տեղ հզորությամբ մանկապարտեզ</t>
  </si>
  <si>
    <t>Թալին համայնքի Ոսկեթաս բնակավայրում 75 տեղ հզորությամբ մանկապարտեզ</t>
  </si>
  <si>
    <t>Ծաղկահովիտ համայնքի Ծիլքար բնակավայրում 75 տեղ հզորությամբ մանկապարտեզ</t>
  </si>
  <si>
    <t>Խոյ համայնքի Հովտամեջ բնակավայրի մանկապարտեզ</t>
  </si>
  <si>
    <t>Վարդենիս համայնքի Խաչաղբյուր բնակավայրի մանկապարտեզ</t>
  </si>
  <si>
    <t>ՀՀ Լոռու մարզի Լուսաղբյուր համայնքում «Մոդուլային» տիպի 144 տեղ հզորությամբ մսուր-մանկապարտեզ</t>
  </si>
  <si>
    <t>Ակունք համայնքի Զառ բնակավայրի մանկապարտեզ</t>
  </si>
  <si>
    <t>ՀՀ Շիրակի մարզի Արթիկ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</si>
  <si>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</si>
  <si>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Անի համայնքի Քարաբերդ բնակավայրի մանկապարտեզ</t>
  </si>
  <si>
    <t>Անի համայնքի Մարալիկ բնակավայրի մանկապարտեզ</t>
  </si>
  <si>
    <t>Աշոցք համայնքի Ղազանչի բնակավայրի մանկապարտեզ</t>
  </si>
  <si>
    <t>Նոյեմբերյան համայնքի Բաղանիս բնակավայրի մանկապարտեզ</t>
  </si>
  <si>
    <t xml:space="preserve"> Մանկապարտեզների շենքերի վերակառուցում, հիմնանորոգում</t>
  </si>
  <si>
    <t>Վարդենիս համայնքի Գեղամասար բնակավայրի մանկապարտեզ</t>
  </si>
  <si>
    <t>Հանրակրթական դպրոցների նոր շենքերի կառուցում</t>
  </si>
  <si>
    <t>«Բարձրաշենի միջնակարգ դպրոց»ՊՈԱԿ</t>
  </si>
  <si>
    <t>«Բերդաշենի միջնակարգ դպրոց» ՊՈԱԿ</t>
  </si>
  <si>
    <t>Հանրակրթական դպրոցների շենքերի վերակառուցում, հիմնանորոգում</t>
  </si>
  <si>
    <t>Երևանի Ա. Հովհաննիսյանի անվան հ. 194 հիմնական դպրոց</t>
  </si>
  <si>
    <t>Մաստարայի միջնակարգ դպրոց</t>
  </si>
  <si>
    <t>Թալինի ավագ դպրոց</t>
  </si>
  <si>
    <t>Կաքավաձորի միջնակարգ դպրոց</t>
  </si>
  <si>
    <t>Քուչակի միջնակարգ դպրոց</t>
  </si>
  <si>
    <t>Ագարակի Տ. Թերլեմեզյանի անվան միջնակարգ դպրոց</t>
  </si>
  <si>
    <t>Աղձքի միջնակարգ դպրոց</t>
  </si>
  <si>
    <t>Երնջատափի Ե․ Չարենցի անվան միջնակարգ դպրոց</t>
  </si>
  <si>
    <t>Մելիքգյուղի միջնակարգ դպրոց</t>
  </si>
  <si>
    <t>Բաղրամյանի միջնակարգ դպրոց</t>
  </si>
  <si>
    <t>Քարակերտի թիվ 2 միջնակարգ դպրոց</t>
  </si>
  <si>
    <t>Արմավիրի Վ. Բախշյանի անվան թիվ 2 հիմնական դպրոց</t>
  </si>
  <si>
    <t>Հովտամեջի միջնակարգ դպրոց</t>
  </si>
  <si>
    <t>Սարդարապատի միջնակարգ դպրոց</t>
  </si>
  <si>
    <t>Ծակքարի միջնակարգ դպրոց</t>
  </si>
  <si>
    <t>Նորատուսի թիվ 1 միջնակարգ դպրոց</t>
  </si>
  <si>
    <t>Կարմիրգյուղի թիվ 2 միջնակարգ դպրոց</t>
  </si>
  <si>
    <t>Վարդաձորի միջնակարգ դպրոց</t>
  </si>
  <si>
    <t>Սարուխանի թիվ 2 միջնակարգ դպրոց</t>
  </si>
  <si>
    <t>Ձորագյուղի միջնակարգ դպրոց</t>
  </si>
  <si>
    <t>ք. Վանաձորի Մաթեմատիկայի և բնագիտական առարկաների խորացված ուսուցմամբ հատուկ դպրոց</t>
  </si>
  <si>
    <t>Արևաշողի միջնակարգ դպրոց</t>
  </si>
  <si>
    <t>Վարդաբլուրի միջնակարգ դպրոց</t>
  </si>
  <si>
    <t>Գոգարանի միջնակարգ դպրոց</t>
  </si>
  <si>
    <t>Կաթնաջրի Ս. Սեյրանյանի անվան միջնակարգ դպրոց</t>
  </si>
  <si>
    <t>Ձորաղբյուրի Վ. Կարապետյանի անվան միջնակարգ դպրոց</t>
  </si>
  <si>
    <t>Գյումրու Օյունջյանի միջնակարգ դպրոց-վարժարան</t>
  </si>
  <si>
    <t>Գյումրու թիվ 19 հիմնական դպրոց</t>
  </si>
  <si>
    <t>Գյումրու թիվ 5 հիմնական դպրոց</t>
  </si>
  <si>
    <t>Գյումրու թիվ 30 հիմնական դպրոց</t>
  </si>
  <si>
    <t>Գյումրու թիվ 7 հիմնական դպրոց</t>
  </si>
  <si>
    <t>Գորիսի թիվ 5 հիմնական դպրոց</t>
  </si>
  <si>
    <t>Շվանիձորի միջնակարգ դպրոց</t>
  </si>
  <si>
    <t>Աճանանի միջնակարգ դպրոց</t>
  </si>
  <si>
    <t>Կապանի թիվ 8 միջնակարգ դպրոց</t>
  </si>
  <si>
    <t>Ջերմուկի Մ. Գորկու անվան թիվ 1 հիմնական դպրոց</t>
  </si>
  <si>
    <t>Կրթահամալիրների կառուցում</t>
  </si>
  <si>
    <t xml:space="preserve"> գ. Ակների կրթահամալիր</t>
  </si>
  <si>
    <t>Գորիս համայնքի Ակների կրթահամալիր</t>
  </si>
  <si>
    <t xml:space="preserve"> գ. Խնածախի կրթահամալիր</t>
  </si>
  <si>
    <t>Տեղ համայնքի Խնածախի կրթահամալիր</t>
  </si>
  <si>
    <t>Հանրակրթական դպրոցների, մանկապարտեզների և կրթահամալիրների գույքով և տեխնիկայով ապահովում</t>
  </si>
  <si>
    <t>Հանրակրթական դպրոցների և կրթահամալիրների լաբորատոր սարքերով և կահույքով ապահովում</t>
  </si>
  <si>
    <t>Հանրակրթական դպրոցների, մանկապարտեզների և կրթահամալիրների վարչական և ուսումնական գույքով և տեխնիկայով ապահովում</t>
  </si>
  <si>
    <t>«ՀԱՅԱՍՏԱՆԻ ՀԱՆՐԱՊԵՏՈՒԹՅԱՆ 2026 ԹՎԱԿԱՆԻ ՊԵՏԱԿԱՆ ԲՅՈՒՋԵԻ ՄԱՍԻՆ» ՕՐԵՆՔԻ N 1 ՀԱՎԵԼՎԱԾԻ N 4 ԱՂՅՈՒՍԱԿՈՒՄ ԿԱՏԱՐՎՈՂ ԼՐԱՑՈՒՄԸ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</si>
  <si>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</si>
  <si>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Ցուցանիշների փոփոխությունը (ավելացումները նշված են դրական նշանով)  </t>
  </si>
  <si>
    <t xml:space="preserve">Տարի
</t>
  </si>
  <si>
    <t xml:space="preserve"> Ընդամենը  </t>
  </si>
  <si>
    <t>Ծրագիր</t>
  </si>
  <si>
    <t xml:space="preserve"> Վարկային միջոցներ</t>
  </si>
  <si>
    <t xml:space="preserve"> Համաֆինան սավորում</t>
  </si>
  <si>
    <t xml:space="preserve"> ՈՉ ՖԻՆԱՆՍԱԿԱՆ ԱԿՏԻՎՆԵՐԻ ԳԾՈՎ ԾԱԽՍԵՐ</t>
  </si>
  <si>
    <t xml:space="preserve"> ՀՀ  կրթության, գիտության, մշակույթի և սպորտի նախարարություն</t>
  </si>
  <si>
    <t xml:space="preserve"> Կրթության որակի ապահովում</t>
  </si>
  <si>
    <t xml:space="preserve"> Համաշխարհային բանկի աջակցությամբ իրականացվող «Կրթության բարելավման  ծրագրի լրացուցիչ ֆինանսավորում» վարկային ծրագրի շրջանակներում կապիտալ ներդրումներ  հանրակրթական ուսումնական հաստատություններում</t>
  </si>
  <si>
    <t xml:space="preserve"> այդ թվում` ըստ կատարողների</t>
  </si>
  <si>
    <t xml:space="preserve"> ՀՀ կրթության, գիտության, մշակույթի և սպորտի նախարարություն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</si>
  <si>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</si>
  <si>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</si>
  <si>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</si>
  <si>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</si>
  <si>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շինարարություն</t>
  </si>
  <si>
    <t xml:space="preserve"> - Շենքերի և շինությունների կապիտալ վերանորոգում</t>
  </si>
  <si>
    <t xml:space="preserve">ՀՀ կառավարության  2025 թվականի </t>
  </si>
  <si>
    <t xml:space="preserve">    ՀՀ կառավարության  2025 թվականի </t>
  </si>
  <si>
    <t xml:space="preserve">       ______________ ի    ___Ն որոշման</t>
  </si>
  <si>
    <t xml:space="preserve">Վերակառուցման,
վերանորոգման և վերականգնման աշխատանքներ
</t>
  </si>
  <si>
    <t>ՀՀ ՏԱՐԱԾՔԱՅԻՆ ԿԱՌԱՎԱՐՄԱՆ և ԵՆԹԱԿԱՌՈՒՑՎԱԾՔՆԵՐԻ ՆԱԽԱՐԱՐՈՒԹՅՈՒՆ</t>
  </si>
  <si>
    <t>Երևանի բուսաբանական այգու տարածքում անտառապուրակի կառուցապատման աշխատանքներ</t>
  </si>
  <si>
    <t>Երևանի մետրոպոլիտենի ենթակառուցվածքների նորոգում</t>
  </si>
  <si>
    <t>1139 - 11004</t>
  </si>
  <si>
    <t>Պայմանական պարտավորությունների սպասարկման պահուստ</t>
  </si>
  <si>
    <t>Պայմանական պարտավորությունների ֆինանսավորման նպատակով նախատեսված միջոցներ</t>
  </si>
  <si>
    <t xml:space="preserve"> 1049</t>
  </si>
  <si>
    <t xml:space="preserve"> 21001</t>
  </si>
  <si>
    <t xml:space="preserve"> Պետական նշանակության ավտոճանապարհների հիմնանորոգում</t>
  </si>
  <si>
    <t>Մ-3,ՀՀ սահման-Մարգարա-Վանաձոր-Տաշիր-ՀՀ սահման միջպետական նշանակության ավտոճանապարհի կմ22+152 -կմ27+000 հատվածի հիմնանորոգում</t>
  </si>
  <si>
    <t>Մ-4, Երևան-Սևան-Իջևան-ՀՀ սահման միջպետական նշանակության ավտոճանապարհի Դիլիջանից մինչև Հ-30 ավտոճանապարհի հետ հատման կետ հատվածում ջրհեղեղի հետևանքով ողողված և փլուզված թվով 10 տեղամասերի վերակառուցում</t>
  </si>
  <si>
    <t>Հ-2, /Հ-1/(Աբովյան) -Արզնի -/Հ-6/Նոր Գեղի, Հ-5, /Հ-6/ (Նոր Գեղի)- Արգել - Արզական – Հրազդան և Հ-6, /Հ-2/ -Նոր Գեղի - Եղվարդի տրանսպորտային հանգույց-/Մ1/ ավտոճանապարհների հատման խաչմերուկում լուսացուցային օբյեկտի ներդրման և ճանապարհային նշանների համապատասխանեցում</t>
  </si>
  <si>
    <t>Հ-23,/Մ-3/ - Պուշկինյան լեռնանցք - /Մ-3/ հանրապետական նշանակության ավտոճանապարհի կմ0+000 -կմ13+400 հատվածի հիմնանորոգում</t>
  </si>
  <si>
    <t>Հ-55, Հրազդանի տրանսպորտային հանգույց – Ծաղկաձորի ճոպանուղի հանրապետական նշանակության ավտոճանապարհի կմ 5+800-կմ10+800 հատվածի հիմնանորոգում</t>
  </si>
  <si>
    <t>Հ-61, /Մ-4/ (Վերին Պտղնի) -Մասիսի տրանսպորտային հանգույց (Երևանի շրջանց) և Տ-6-15, /Հ-61/ - Գետարգել - Բալահովիտ - /Հ-1/ ավտոճանապարհների հատման խաչմերուկում լուսացուցային օբյեկտի ներդրման և անվտանգ երթևեկության ապահովում</t>
  </si>
  <si>
    <t>Տ-2-3,Ներքին Չարբախ-Դարակերտ-Հ-13 (Դաշտավան) տեղական նշանակության ավտոճանապարհի կմ 0+000-կմ 2+200 հատվածի հիմնանորոգում</t>
  </si>
  <si>
    <t>Տ-2-26,  /Տ-2-25/ (Բարձրաշեն) - Երևանի սահման (Նուբարաշեն) մարզային նշանակության ավտոճանապարհի կմ0+000-կմ1+400 հատվածի  հիմնանորոգում</t>
  </si>
  <si>
    <t>Տ-3-37,/Մ-5/  - Մերձավան-Այգեկ - /Մ-5/ տեղական նշանակության ավտոճանապարհի կմ 0+000- կմ 10+200 հատվածի հիմնանորոգում</t>
  </si>
  <si>
    <t>Տ-4-64,/Հ-30/ (Դպրաբակ) -Բարեպատ-Կալավան տեղական նշանակության ավտոճանապարհի կմ 0+000-կմ 8+000 հատվածի հիմնանորոգում</t>
  </si>
  <si>
    <t>Թումանյան համայնքի Մարց գյուղի Ռուբեն Սևակի փողոցից 700մ երկարությամբ դեպի 2րդ փողոց անցման ճանապարհահատվածի ասֆալտապատում</t>
  </si>
  <si>
    <t xml:space="preserve"> ՀՀ կառավարություն</t>
  </si>
  <si>
    <t xml:space="preserve"> ՀՀ տարածքային կառավարման և ենթակառուցվածքների նախարարություն</t>
  </si>
  <si>
    <t>այդ թվում՝ ըստ ուղղությունների</t>
  </si>
  <si>
    <t>Միջպետական նշանակության ավտոճանապարհներ, այդ թվում</t>
  </si>
  <si>
    <t>Հանրապետական նշանակության ավտոճանապարհներ, այդ թվում</t>
  </si>
  <si>
    <t>Մարզային նշանակության ավտոճանապարհներ, այդ թվում</t>
  </si>
  <si>
    <t xml:space="preserve">Ցուցանիշների փոփոխությունը (նվազեցումները նշված են փակագծերում) </t>
  </si>
  <si>
    <t>1.  Եկամուտների գծով</t>
  </si>
  <si>
    <t>2.  Ծախսերի գծով</t>
  </si>
  <si>
    <t>3. Դեֆիցիտը (պակասուրդը)</t>
  </si>
  <si>
    <t>Եկամտատեսակ</t>
  </si>
  <si>
    <t>Պաշտոնական դրամաշնորհներ</t>
  </si>
  <si>
    <t xml:space="preserve"> Բյուջետային գլխավոր կարգադրիչների, ծրագրերի և միջոցառումների անվանումները</t>
  </si>
  <si>
    <t xml:space="preserve"> Ընդամենը</t>
  </si>
  <si>
    <t>Դրամաշնորհային միջոցներ</t>
  </si>
  <si>
    <t xml:space="preserve"> Համաֆինանսավորում</t>
  </si>
  <si>
    <t xml:space="preserve"> այդ թվում՛</t>
  </si>
  <si>
    <t xml:space="preserve"> ՀՀ ֆինանսների նախարարություն</t>
  </si>
  <si>
    <t>Հանրային հատվածի ֆինանսական ոլորտի մասնագետների վերապատրաստում</t>
  </si>
  <si>
    <t>1031</t>
  </si>
  <si>
    <t>Հանրային հատվածի ֆինանսական ոլորտի մասնագետների աշխատանքի  արդյունավետության բարելավում, հանրային ֆինանսների կառավարման նոր գիտելիքների և փորձի յուրացում</t>
  </si>
  <si>
    <t>Հանրային հատվածի ֆինանսական ոլորտի մասնագետների գիտելիքների և կարողությունների բարելավում</t>
  </si>
  <si>
    <t>1031 - 11002</t>
  </si>
  <si>
    <t>Եվրասիական զարգացման բանկի աջակցությամբ իրականացվող տեխնիկական աջակցության ծրագիր</t>
  </si>
  <si>
    <t>ՀՀ ֆինանսների նախարարության ղեկավար կազմի կոմպետենցիաների զարգացում և առաջնորդական  հմտությունների ուսուցում</t>
  </si>
  <si>
    <t xml:space="preserve">«ՀԱՅԱՍՏԱՆԻ ՀԱՆՐԱՊԵՏՈՒԹՅԱՆ 2026 ԹՎԱԿԱՆԻ ՊԵՏԱԿԱՆ ԲՅՈՒՋԵԻ ՄԱՍԻՆ» ՀԱՅԱՍՏԱՆԻ ՀԱՆՐԱՊԵՏՈՒԹՅԱՆ ՕՐԵՆՔԻ 2-ՐԴ ՀՈԴՎԱԾԻ ԱՂՅՈՒՍԱԿՈՒՄ ԿԱՏԱՐՎՈՂ ՓՈՓՈԽՈՒԹՅՈՒՆՆԵՐԸ 
</t>
  </si>
  <si>
    <t>«ՀԱՅԱՍՏԱՆԻ ՀԱՆՐԱՊԵՏՈՒԹՅԱՆ 2026 ԹՎԱԿԱՆԻ ՊԵՏԱԿԱՆ ԲՅՈՒՋԵԻ ՄԱՍԻՆ» ՀԱՅԱՍՏԱՆԻ ՀԱՆՐԱՊԵՏՈՒԹՅԱՆ ՕՐԵՆՔԻ 6-ՐԴ ՀՈԴՎԱԾԻ ԱՂՅՈՒՍԱԿՈՒՄ ԿԱՏԱՐՎՈՂ ՓՈՓՈԽՈՒԹՅՈՒՆՆԵՐԸ</t>
  </si>
  <si>
    <t>1006</t>
  </si>
  <si>
    <t>Պետական պարտքի կառավարում</t>
  </si>
  <si>
    <t>Կառավարության ֆինանսական կարիքների բավարարման մշտական հնարավորության ապահովումը` երկարաժամկետ հատվածում նվազեցնելով պարտքի սպասարկման մեծությունը</t>
  </si>
  <si>
    <t>Կառավարության պարտքի օպտիմալ կառուցվածքի ձևավորում՛ հաշվի առնելով պոտենցիալ ռիսկերը</t>
  </si>
  <si>
    <t>1006 - 11002</t>
  </si>
  <si>
    <t>Արտարժութային պետական պարտատոմսերի թողարկմանն առնչվող ծախսեր</t>
  </si>
  <si>
    <t>Պարտատոմսերի տեղաբաշխումների կազմակերպման, իրավասպասարկման, վարկանշման, ցուցակման ծառայությունների և իրավաբանական անձի նույնականիշի ձեռքբերման, պարտատոմսերի սեփականատիրոջ, իրավակարգավորման դաշտի, պահառուի փոփոխության գծով գործարքների դիմաց վճարումներ</t>
  </si>
  <si>
    <t>1006 - 11004</t>
  </si>
  <si>
    <t>Պարտքի կառավարմանն առնչվող տեղեկատվական համակարգերի և ծրագրերի սպասարկում</t>
  </si>
  <si>
    <t>Բլումբերգ և Ռոյթերս տեղեկատվական համակարգերի առևտրային տերմինալների սպասարկման ու պարտքի գրանցման և կառավարման DMFAS 6.0 համակարգի տեխնիկական սպասարկման ծառայությունների դիմաց վճարումներ</t>
  </si>
  <si>
    <t>1006 - 13001</t>
  </si>
  <si>
    <t>Կառավարության պարտքի սպասարկում</t>
  </si>
  <si>
    <t>Կառավարության պարտքի սպասարկում (տոկոսավճարներ)</t>
  </si>
  <si>
    <t>Ֆինանսավորման ծախսերի իրականացում</t>
  </si>
  <si>
    <t>1139 - 11003</t>
  </si>
  <si>
    <t>Հարկաբյուջետային ռիսկերի կառավարման պահուստ</t>
  </si>
  <si>
    <t>Հարկաբյուջետային ռիսկերի կառավարման նպատակով նախատեսված միջոցներ</t>
  </si>
  <si>
    <t>«ՀԱՅԱՍՏԱՆԻ ՀԱՆՐԱՊԵՏՈՒԹՅԱՆ 2026 ԹՎԱԿԱՆԻ ՊԵՏԱԿԱՆ ԲՅՈՒՋԵԻ ՄԱՍԻՆ» ՕՐԵՆՔԻ N 1 ՀԱՎԵԼՎԱԾԻ N 5 ԱՂՅՈՒՍԱԿՈՒՄ ԿԱՏԱՐՎՈՂ ԼՐԱՑՈՒՄԸ</t>
  </si>
  <si>
    <t>«ՀԱՅԱUՏԱՆԻ ՀԱՆՐԱՊԵՏՈՒԹՅԱՆ 2026 ԹՎԱԿԱՆԻ ՊԵՏԱԿԱՆ ԲՅՈՒՋԵԻ ՄԱUԻՆ» ՀԱՅԱUՏԱՆԻ ՀԱՆՐԱՊԵՏՈՒԹՅԱՆ OՐԵՆՔԻ N 1 ՀԱՎԵԼՎԱԾԻ  NN 1 ԵՎ 2 ԱՂՅՈՒՍԱԿՆԵՐԻ ՑՈՒՑԱՆԻՇՆԵՐՈՒՄ ԿԱՏԱՐՎՈՂ ՎԵՐԱԲԱՇԽՈՒՄՆԵՐԸ</t>
  </si>
  <si>
    <t>ԱՂՅՈՒՍԱԿ N 1</t>
  </si>
  <si>
    <t>ՀԱՎԵԼՎԱԾ N 13</t>
  </si>
  <si>
    <t>ԱՂՅՈՒՍԱԿ N 2</t>
  </si>
  <si>
    <t>ԱՂՅՈՒՍԱԿ N 3</t>
  </si>
  <si>
    <t>ԱՂՅՈՒՍԱԿ N 4</t>
  </si>
  <si>
    <t>ԱՂՅՈՒՍԱԿ N 5</t>
  </si>
  <si>
    <t>ԱՂՅՈՒՍԱԿ 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</si>
</sst>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#,##0.0"/>
    <numFmt numFmtId="167" formatCode="_-* #,##0.00_р_._-;\-* #,##0.00_р_._-;_-* &quot;-&quot;??_р_._-;_-@_-"/>
    <numFmt numFmtId="168" formatCode="0.0"/>
    <numFmt numFmtId="169" formatCode="_-* #,##0.00\ _ _-;\-* #,##0.00\ _ _-;_-* &quot;-&quot;??\ _ _-;_-@_-"/>
    <numFmt numFmtId="170" formatCode="_-* #,##0.00&quot; &quot;_ _-;\-* #,##0.00&quot; &quot;_ _-;_-* &quot;-&quot;??&quot; &quot;_ _-;_-@_-"/>
    <numFmt numFmtId="171" formatCode="#,##0.0_);\(#,##0.0\)"/>
    <numFmt numFmtId="172" formatCode="0.0%"/>
    <numFmt numFmtId="173" formatCode="#,##0.000"/>
    <numFmt numFmtId="174" formatCode="_(* #,##0.000_);_(* \(#,##0.000\);_(* &quot;-&quot;??_);_(@_)"/>
  </numFmts>
  <fonts count="97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8"/>
      <name val="GHEA Grapalat"/>
      <family val="3"/>
    </font>
    <font>
      <sz val="10"/>
      <name val="Arial Cyr"/>
      <family val="2"/>
      <charset val="204"/>
    </font>
    <font>
      <sz val="11"/>
      <color theme="1"/>
      <name val="Times Armenian"/>
      <family val="2"/>
    </font>
    <font>
      <sz val="11"/>
      <color theme="1"/>
      <name val="Calibri"/>
      <family val="2"/>
      <scheme val="minor"/>
    </font>
    <font>
      <sz val="11"/>
      <color theme="0"/>
      <name val="Times Armenian"/>
      <family val="2"/>
    </font>
    <font>
      <sz val="11"/>
      <color theme="0"/>
      <name val="Calibri"/>
      <family val="2"/>
      <scheme val="minor"/>
    </font>
    <font>
      <sz val="11"/>
      <color rgb="FF9C0006"/>
      <name val="Times Armenian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Times Armenian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Times Armenian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color rgb="FF7F7F7F"/>
      <name val="Times Armenian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Times Armenian"/>
      <family val="2"/>
    </font>
    <font>
      <sz val="11"/>
      <color rgb="FF006100"/>
      <name val="Calibri"/>
      <family val="2"/>
      <scheme val="minor"/>
    </font>
    <font>
      <b/>
      <sz val="15"/>
      <color theme="3"/>
      <name val="Times Armeni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Times Armenian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Times Armenian"/>
      <family val="2"/>
    </font>
    <font>
      <b/>
      <sz val="11"/>
      <color theme="3"/>
      <name val="Calibri"/>
      <family val="2"/>
      <scheme val="minor"/>
    </font>
    <font>
      <sz val="11"/>
      <color rgb="FF3F3F76"/>
      <name val="Times Armenian"/>
      <family val="2"/>
    </font>
    <font>
      <sz val="11"/>
      <color rgb="FF3F3F76"/>
      <name val="Calibri"/>
      <family val="2"/>
      <scheme val="minor"/>
    </font>
    <font>
      <sz val="11"/>
      <color rgb="FFFA7D00"/>
      <name val="Times Armenian"/>
      <family val="2"/>
    </font>
    <font>
      <sz val="11"/>
      <color rgb="FFFA7D00"/>
      <name val="Calibri"/>
      <family val="2"/>
      <scheme val="minor"/>
    </font>
    <font>
      <sz val="11"/>
      <color rgb="FF9C6500"/>
      <name val="Times Armenian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Times Armeni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Times Armenian"/>
      <family val="2"/>
    </font>
    <font>
      <b/>
      <sz val="11"/>
      <color theme="1"/>
      <name val="Calibri"/>
      <family val="2"/>
      <scheme val="minor"/>
    </font>
    <font>
      <sz val="11"/>
      <color rgb="FFFF0000"/>
      <name val="Times Armenian"/>
      <family val="2"/>
    </font>
    <font>
      <sz val="11"/>
      <color rgb="FFFF0000"/>
      <name val="Calibri"/>
      <family val="2"/>
      <scheme val="minor"/>
    </font>
    <font>
      <b/>
      <sz val="10"/>
      <name val="GHEA Grapalat"/>
      <family val="2"/>
    </font>
    <font>
      <b/>
      <sz val="8"/>
      <name val="GHEA Grapalat"/>
      <family val="2"/>
    </font>
    <font>
      <sz val="10"/>
      <name val="Arial Armenian"/>
      <family val="2"/>
    </font>
    <font>
      <sz val="12"/>
      <name val="Times LatArm"/>
    </font>
    <font>
      <sz val="11"/>
      <name val="GHEA Grapalat"/>
      <family val="3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0"/>
      <color rgb="FF9C6500"/>
      <name val="Calibri"/>
      <family val="2"/>
      <scheme val="minor"/>
    </font>
    <font>
      <sz val="11"/>
      <color rgb="FF9C65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name val="GHEA Grapalat"/>
      <family val="3"/>
    </font>
    <font>
      <sz val="11"/>
      <color indexed="8"/>
      <name val="Calibri"/>
      <family val="2"/>
    </font>
    <font>
      <sz val="11"/>
      <color theme="1"/>
      <name val="GHEA Grapalat"/>
      <family val="3"/>
    </font>
    <font>
      <b/>
      <sz val="11"/>
      <name val="GHEA Grapalat"/>
      <family val="2"/>
    </font>
    <font>
      <b/>
      <u/>
      <sz val="11"/>
      <name val="GHEA Grapalat"/>
      <family val="3"/>
    </font>
    <font>
      <i/>
      <sz val="11"/>
      <color theme="1"/>
      <name val="GHEA Grapalat"/>
      <family val="3"/>
    </font>
    <font>
      <sz val="10"/>
      <name val="GHEA Grapalat"/>
      <family val="2"/>
    </font>
    <font>
      <sz val="11"/>
      <color rgb="FF9C57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charset val="204"/>
      <scheme val="minor"/>
    </font>
    <font>
      <b/>
      <sz val="12"/>
      <name val="GHEA Grapalat"/>
      <family val="3"/>
    </font>
    <font>
      <sz val="12"/>
      <name val="GHEA Grapalat"/>
      <family val="3"/>
    </font>
    <font>
      <sz val="12"/>
      <name val="GHEA Grapalat"/>
      <family val="2"/>
    </font>
    <font>
      <sz val="12"/>
      <name val="Calibri"/>
      <family val="2"/>
      <charset val="1"/>
      <scheme val="minor"/>
    </font>
    <font>
      <b/>
      <i/>
      <sz val="12"/>
      <name val="GHEA Grapalat"/>
      <family val="3"/>
    </font>
    <font>
      <i/>
      <sz val="12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1"/>
      <scheme val="minor"/>
    </font>
    <font>
      <b/>
      <i/>
      <sz val="1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2"/>
    </font>
    <font>
      <i/>
      <sz val="10"/>
      <name val="GHEA Grapalat"/>
      <family val="2"/>
    </font>
    <font>
      <i/>
      <sz val="11"/>
      <name val="GHEA Grapalat"/>
      <family val="2"/>
    </font>
    <font>
      <i/>
      <sz val="8"/>
      <name val="GHEA Grapalat"/>
      <family val="2"/>
    </font>
    <font>
      <b/>
      <sz val="12"/>
      <name val="GHEA Grapalat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84">
    <xf numFmtId="0" fontId="0" fillId="0" borderId="0">
      <alignment horizontal="left" vertical="top" wrapText="1"/>
    </xf>
    <xf numFmtId="0" fontId="11" fillId="2" borderId="0" applyNumberFormat="0" applyBorder="0" applyAlignment="0" applyProtection="0"/>
    <xf numFmtId="0" fontId="12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22" borderId="0" applyNumberFormat="0" applyBorder="0" applyAlignment="0" applyProtection="0"/>
    <xf numFmtId="0" fontId="14" fillId="22" borderId="0" applyNumberFormat="0" applyBorder="0" applyAlignment="0" applyProtection="0"/>
    <xf numFmtId="0" fontId="13" fillId="23" borderId="0" applyNumberFormat="0" applyBorder="0" applyAlignment="0" applyProtection="0"/>
    <xf numFmtId="0" fontId="14" fillId="23" borderId="0" applyNumberFormat="0" applyBorder="0" applyAlignment="0" applyProtection="0"/>
    <xf numFmtId="0" fontId="13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" applyNumberFormat="0" applyAlignment="0" applyProtection="0"/>
    <xf numFmtId="0" fontId="18" fillId="27" borderId="2" applyNumberFormat="0" applyAlignment="0" applyProtection="0"/>
    <xf numFmtId="0" fontId="19" fillId="28" borderId="3" applyNumberFormat="0" applyAlignment="0" applyProtection="0"/>
    <xf numFmtId="0" fontId="20" fillId="28" borderId="3" applyNumberFormat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5" fillId="29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0" borderId="2" applyNumberFormat="0" applyAlignment="0" applyProtection="0"/>
    <xf numFmtId="0" fontId="33" fillId="30" borderId="2" applyNumberFormat="0" applyAlignment="0" applyProtection="0"/>
    <xf numFmtId="0" fontId="34" fillId="0" borderId="7" applyNumberFormat="0" applyFill="0" applyAlignment="0" applyProtection="0"/>
    <xf numFmtId="0" fontId="35" fillId="0" borderId="7" applyNumberFormat="0" applyFill="0" applyAlignment="0" applyProtection="0"/>
    <xf numFmtId="0" fontId="36" fillId="31" borderId="0" applyNumberFormat="0" applyBorder="0" applyAlignment="0" applyProtection="0"/>
    <xf numFmtId="0" fontId="37" fillId="31" borderId="0" applyNumberFormat="0" applyBorder="0" applyAlignment="0" applyProtection="0"/>
    <xf numFmtId="0" fontId="6" fillId="0" borderId="0"/>
    <xf numFmtId="0" fontId="2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7" fillId="0" borderId="0"/>
    <xf numFmtId="0" fontId="10" fillId="0" borderId="0"/>
    <xf numFmtId="0" fontId="5" fillId="0" borderId="0">
      <alignment horizontal="left" vertical="top" wrapText="1"/>
    </xf>
    <xf numFmtId="0" fontId="11" fillId="32" borderId="8" applyNumberFormat="0" applyFont="0" applyAlignment="0" applyProtection="0"/>
    <xf numFmtId="0" fontId="12" fillId="32" borderId="8" applyNumberFormat="0" applyFont="0" applyAlignment="0" applyProtection="0"/>
    <xf numFmtId="0" fontId="38" fillId="27" borderId="9" applyNumberFormat="0" applyAlignment="0" applyProtection="0"/>
    <xf numFmtId="0" fontId="39" fillId="27" borderId="9" applyNumberFormat="0" applyAlignment="0" applyProtection="0"/>
    <xf numFmtId="164" fontId="5" fillId="0" borderId="0" applyFill="0" applyBorder="0" applyProtection="0">
      <alignment horizontal="right" vertical="top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0" applyNumberFormat="0" applyFill="0" applyAlignment="0" applyProtection="0"/>
    <xf numFmtId="0" fontId="43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164" fontId="46" fillId="0" borderId="0" applyFill="0" applyBorder="0" applyProtection="0">
      <alignment horizontal="right" vertical="top"/>
    </xf>
    <xf numFmtId="0" fontId="6" fillId="0" borderId="0"/>
    <xf numFmtId="164" fontId="47" fillId="0" borderId="0" applyFill="0" applyBorder="0" applyProtection="0">
      <alignment horizontal="right" vertical="top"/>
    </xf>
    <xf numFmtId="0" fontId="6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8" fillId="0" borderId="0"/>
    <xf numFmtId="0" fontId="3" fillId="2" borderId="0" applyNumberFormat="0" applyBorder="0" applyAlignment="0" applyProtection="0"/>
    <xf numFmtId="0" fontId="21" fillId="2" borderId="0" applyNumberFormat="0" applyBorder="0" applyAlignment="0" applyProtection="0"/>
    <xf numFmtId="0" fontId="3" fillId="3" borderId="0" applyNumberFormat="0" applyBorder="0" applyAlignment="0" applyProtection="0"/>
    <xf numFmtId="0" fontId="21" fillId="3" borderId="0" applyNumberFormat="0" applyBorder="0" applyAlignment="0" applyProtection="0"/>
    <xf numFmtId="0" fontId="3" fillId="4" borderId="0" applyNumberFormat="0" applyBorder="0" applyAlignment="0" applyProtection="0"/>
    <xf numFmtId="0" fontId="21" fillId="4" borderId="0" applyNumberFormat="0" applyBorder="0" applyAlignment="0" applyProtection="0"/>
    <xf numFmtId="0" fontId="3" fillId="5" borderId="0" applyNumberFormat="0" applyBorder="0" applyAlignment="0" applyProtection="0"/>
    <xf numFmtId="0" fontId="21" fillId="5" borderId="0" applyNumberFormat="0" applyBorder="0" applyAlignment="0" applyProtection="0"/>
    <xf numFmtId="0" fontId="3" fillId="6" borderId="0" applyNumberFormat="0" applyBorder="0" applyAlignment="0" applyProtection="0"/>
    <xf numFmtId="0" fontId="21" fillId="6" borderId="0" applyNumberFormat="0" applyBorder="0" applyAlignment="0" applyProtection="0"/>
    <xf numFmtId="0" fontId="3" fillId="7" borderId="0" applyNumberFormat="0" applyBorder="0" applyAlignment="0" applyProtection="0"/>
    <xf numFmtId="0" fontId="21" fillId="7" borderId="0" applyNumberFormat="0" applyBorder="0" applyAlignment="0" applyProtection="0"/>
    <xf numFmtId="0" fontId="3" fillId="8" borderId="0" applyNumberFormat="0" applyBorder="0" applyAlignment="0" applyProtection="0"/>
    <xf numFmtId="0" fontId="21" fillId="8" borderId="0" applyNumberFormat="0" applyBorder="0" applyAlignment="0" applyProtection="0"/>
    <xf numFmtId="0" fontId="3" fillId="9" borderId="0" applyNumberFormat="0" applyBorder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21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43" fontId="73" fillId="0" borderId="0" applyFont="0" applyFill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56" fillId="26" borderId="0" applyNumberFormat="0" applyBorder="0" applyAlignment="0" applyProtection="0"/>
    <xf numFmtId="0" fontId="57" fillId="27" borderId="2" applyNumberFormat="0" applyAlignment="0" applyProtection="0"/>
    <xf numFmtId="0" fontId="58" fillId="28" borderId="3" applyNumberFormat="0" applyAlignment="0" applyProtection="0"/>
    <xf numFmtId="169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29" borderId="0" applyNumberFormat="0" applyBorder="0" applyAlignment="0" applyProtection="0"/>
    <xf numFmtId="0" fontId="61" fillId="0" borderId="4" applyNumberFormat="0" applyFill="0" applyAlignment="0" applyProtection="0"/>
    <xf numFmtId="0" fontId="62" fillId="0" borderId="5" applyNumberFormat="0" applyFill="0" applyAlignment="0" applyProtection="0"/>
    <xf numFmtId="0" fontId="63" fillId="0" borderId="6" applyNumberFormat="0" applyFill="0" applyAlignment="0" applyProtection="0"/>
    <xf numFmtId="0" fontId="63" fillId="0" borderId="0" applyNumberFormat="0" applyFill="0" applyBorder="0" applyAlignment="0" applyProtection="0"/>
    <xf numFmtId="0" fontId="64" fillId="30" borderId="2" applyNumberFormat="0" applyAlignment="0" applyProtection="0"/>
    <xf numFmtId="0" fontId="65" fillId="0" borderId="7" applyNumberFormat="0" applyFill="0" applyAlignment="0" applyProtection="0"/>
    <xf numFmtId="0" fontId="66" fillId="31" borderId="0" applyNumberFormat="0" applyBorder="0" applyAlignment="0" applyProtection="0"/>
    <xf numFmtId="0" fontId="67" fillId="31" borderId="0" applyNumberFormat="0" applyBorder="0" applyAlignment="0" applyProtection="0"/>
    <xf numFmtId="0" fontId="51" fillId="0" borderId="0"/>
    <xf numFmtId="0" fontId="6" fillId="0" borderId="0"/>
    <xf numFmtId="0" fontId="21" fillId="0" borderId="0"/>
    <xf numFmtId="0" fontId="7" fillId="0" borderId="0"/>
    <xf numFmtId="0" fontId="7" fillId="0" borderId="0"/>
    <xf numFmtId="0" fontId="53" fillId="0" borderId="0">
      <alignment horizontal="left"/>
    </xf>
    <xf numFmtId="0" fontId="8" fillId="0" borderId="0"/>
    <xf numFmtId="0" fontId="7" fillId="0" borderId="0"/>
    <xf numFmtId="0" fontId="7" fillId="0" borderId="0"/>
    <xf numFmtId="0" fontId="21" fillId="0" borderId="0"/>
    <xf numFmtId="0" fontId="3" fillId="0" borderId="0"/>
    <xf numFmtId="0" fontId="8" fillId="0" borderId="0"/>
    <xf numFmtId="0" fontId="8" fillId="0" borderId="0"/>
    <xf numFmtId="0" fontId="7" fillId="0" borderId="0"/>
    <xf numFmtId="0" fontId="5" fillId="0" borderId="0">
      <alignment horizontal="left" vertical="top" wrapText="1"/>
    </xf>
    <xf numFmtId="0" fontId="3" fillId="32" borderId="8" applyNumberFormat="0" applyFont="0" applyAlignment="0" applyProtection="0"/>
    <xf numFmtId="0" fontId="21" fillId="32" borderId="8" applyNumberFormat="0" applyFont="0" applyAlignment="0" applyProtection="0"/>
    <xf numFmtId="0" fontId="68" fillId="27" borderId="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2" fillId="0" borderId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0" applyNumberFormat="0" applyFill="0" applyBorder="0" applyAlignment="0" applyProtection="0"/>
    <xf numFmtId="0" fontId="7" fillId="0" borderId="0"/>
    <xf numFmtId="0" fontId="79" fillId="31" borderId="0" applyNumberFormat="0" applyBorder="0" applyAlignment="0" applyProtection="0"/>
    <xf numFmtId="0" fontId="8" fillId="0" borderId="0"/>
    <xf numFmtId="0" fontId="7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164" fontId="78" fillId="0" borderId="0" applyFill="0" applyBorder="0" applyProtection="0">
      <alignment horizontal="right" vertical="top"/>
    </xf>
    <xf numFmtId="164" fontId="46" fillId="0" borderId="0" applyFill="0" applyBorder="0" applyProtection="0">
      <alignment horizontal="right" vertical="top"/>
    </xf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80" fillId="34" borderId="0" applyNumberFormat="0" applyBorder="0" applyAlignment="0" applyProtection="0"/>
    <xf numFmtId="0" fontId="6" fillId="0" borderId="0"/>
    <xf numFmtId="0" fontId="81" fillId="31" borderId="0" applyNumberFormat="0" applyBorder="0" applyAlignment="0" applyProtection="0"/>
    <xf numFmtId="9" fontId="5" fillId="0" borderId="0" applyFont="0" applyFill="0" applyBorder="0" applyAlignment="0" applyProtection="0"/>
    <xf numFmtId="0" fontId="21" fillId="0" borderId="0"/>
    <xf numFmtId="0" fontId="88" fillId="0" borderId="0"/>
    <xf numFmtId="164" fontId="95" fillId="0" borderId="0" applyFill="0" applyBorder="0" applyProtection="0">
      <alignment horizontal="right" vertical="top"/>
    </xf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244">
    <xf numFmtId="0" fontId="0" fillId="0" borderId="0" xfId="0">
      <alignment horizontal="left" vertical="top" wrapText="1"/>
    </xf>
    <xf numFmtId="0" fontId="50" fillId="0" borderId="0" xfId="0" applyFont="1">
      <alignment horizontal="left" vertical="top" wrapText="1"/>
    </xf>
    <xf numFmtId="0" fontId="50" fillId="0" borderId="0" xfId="0" applyFont="1" applyAlignment="1">
      <alignment horizontal="right"/>
    </xf>
    <xf numFmtId="0" fontId="74" fillId="0" borderId="0" xfId="0" applyFont="1" applyAlignment="1"/>
    <xf numFmtId="0" fontId="54" fillId="33" borderId="0" xfId="0" applyFont="1" applyFill="1" applyAlignment="1">
      <alignment wrapText="1"/>
    </xf>
    <xf numFmtId="0" fontId="50" fillId="33" borderId="0" xfId="0" applyFont="1" applyFill="1" applyAlignment="1">
      <alignment wrapText="1"/>
    </xf>
    <xf numFmtId="0" fontId="50" fillId="33" borderId="0" xfId="0" applyFont="1" applyFill="1" applyAlignment="1"/>
    <xf numFmtId="0" fontId="50" fillId="33" borderId="1" xfId="0" applyFont="1" applyFill="1" applyBorder="1" applyAlignment="1">
      <alignment horizontal="center" vertical="center" wrapText="1"/>
    </xf>
    <xf numFmtId="0" fontId="54" fillId="33" borderId="1" xfId="0" applyFont="1" applyFill="1" applyBorder="1" applyAlignment="1">
      <alignment horizontal="center" vertical="center" wrapText="1"/>
    </xf>
    <xf numFmtId="165" fontId="54" fillId="33" borderId="1" xfId="55" applyNumberFormat="1" applyFont="1" applyFill="1" applyBorder="1" applyAlignment="1">
      <alignment vertical="center" wrapText="1"/>
    </xf>
    <xf numFmtId="0" fontId="54" fillId="33" borderId="1" xfId="0" applyFont="1" applyFill="1" applyBorder="1">
      <alignment horizontal="left" vertical="top" wrapText="1"/>
    </xf>
    <xf numFmtId="168" fontId="50" fillId="33" borderId="1" xfId="0" applyNumberFormat="1" applyFont="1" applyFill="1" applyBorder="1" applyAlignment="1">
      <alignment vertical="center" wrapText="1"/>
    </xf>
    <xf numFmtId="165" fontId="77" fillId="0" borderId="0" xfId="57" applyNumberFormat="1" applyFont="1" applyFill="1" applyAlignment="1">
      <alignment horizontal="right"/>
    </xf>
    <xf numFmtId="0" fontId="82" fillId="33" borderId="1" xfId="111" applyFont="1" applyFill="1" applyBorder="1" applyAlignment="1">
      <alignment vertical="center" wrapText="1"/>
    </xf>
    <xf numFmtId="0" fontId="83" fillId="33" borderId="1" xfId="111" applyFont="1" applyFill="1" applyBorder="1" applyAlignment="1">
      <alignment vertical="center" wrapText="1"/>
    </xf>
    <xf numFmtId="0" fontId="82" fillId="33" borderId="1" xfId="111" applyFont="1" applyFill="1" applyBorder="1" applyAlignment="1">
      <alignment horizontal="center" vertical="center" wrapText="1"/>
    </xf>
    <xf numFmtId="0" fontId="83" fillId="33" borderId="1" xfId="111" applyFont="1" applyFill="1" applyBorder="1" applyAlignment="1">
      <alignment horizontal="center" vertical="center" wrapText="1"/>
    </xf>
    <xf numFmtId="0" fontId="83" fillId="0" borderId="1" xfId="110" applyFont="1" applyBorder="1" applyAlignment="1">
      <alignment horizontal="center" vertical="center" wrapText="1"/>
    </xf>
    <xf numFmtId="0" fontId="85" fillId="0" borderId="0" xfId="111" applyFont="1"/>
    <xf numFmtId="0" fontId="82" fillId="0" borderId="1" xfId="110" applyFont="1" applyBorder="1" applyAlignment="1">
      <alignment horizontal="center" vertical="center" wrapText="1"/>
    </xf>
    <xf numFmtId="0" fontId="83" fillId="0" borderId="1" xfId="111" applyFont="1" applyBorder="1"/>
    <xf numFmtId="0" fontId="83" fillId="0" borderId="12" xfId="111" applyFont="1" applyBorder="1" applyAlignment="1">
      <alignment horizontal="center"/>
    </xf>
    <xf numFmtId="0" fontId="83" fillId="0" borderId="1" xfId="111" applyFont="1" applyBorder="1" applyAlignment="1">
      <alignment horizontal="center"/>
    </xf>
    <xf numFmtId="0" fontId="87" fillId="0" borderId="0" xfId="111" applyFont="1"/>
    <xf numFmtId="0" fontId="86" fillId="0" borderId="1" xfId="110" applyFont="1" applyBorder="1" applyAlignment="1">
      <alignment horizontal="center" vertical="center" wrapText="1"/>
    </xf>
    <xf numFmtId="0" fontId="82" fillId="0" borderId="1" xfId="110" applyFont="1" applyBorder="1" applyAlignment="1">
      <alignment vertical="center" wrapText="1"/>
    </xf>
    <xf numFmtId="0" fontId="82" fillId="0" borderId="12" xfId="110" applyFont="1" applyBorder="1" applyAlignment="1">
      <alignment horizontal="center" vertical="center" wrapText="1"/>
    </xf>
    <xf numFmtId="0" fontId="87" fillId="0" borderId="0" xfId="111" applyFont="1" applyAlignment="1">
      <alignment vertical="center"/>
    </xf>
    <xf numFmtId="0" fontId="82" fillId="0" borderId="13" xfId="110" applyFont="1" applyBorder="1" applyAlignment="1">
      <alignment horizontal="center" vertical="center" wrapText="1"/>
    </xf>
    <xf numFmtId="0" fontId="83" fillId="0" borderId="13" xfId="111" applyFont="1" applyBorder="1" applyAlignment="1">
      <alignment horizontal="center"/>
    </xf>
    <xf numFmtId="0" fontId="0" fillId="0" borderId="1" xfId="0" applyFont="1" applyBorder="1" applyAlignment="1"/>
    <xf numFmtId="0" fontId="83" fillId="0" borderId="14" xfId="111" applyFont="1" applyBorder="1"/>
    <xf numFmtId="0" fontId="83" fillId="0" borderId="1" xfId="111" applyFont="1" applyBorder="1" applyAlignment="1">
      <alignment vertical="center"/>
    </xf>
    <xf numFmtId="0" fontId="85" fillId="33" borderId="0" xfId="262" applyFont="1" applyFill="1"/>
    <xf numFmtId="0" fontId="83" fillId="33" borderId="1" xfId="111" applyFont="1" applyFill="1" applyBorder="1"/>
    <xf numFmtId="0" fontId="87" fillId="33" borderId="0" xfId="111" applyFont="1" applyFill="1"/>
    <xf numFmtId="0" fontId="83" fillId="33" borderId="1" xfId="263" applyFont="1" applyFill="1" applyBorder="1" applyAlignment="1"/>
    <xf numFmtId="0" fontId="83" fillId="33" borderId="1" xfId="111" applyFont="1" applyFill="1" applyBorder="1" applyAlignment="1">
      <alignment horizontal="center"/>
    </xf>
    <xf numFmtId="0" fontId="83" fillId="33" borderId="1" xfId="262" applyFont="1" applyFill="1" applyBorder="1"/>
    <xf numFmtId="0" fontId="87" fillId="33" borderId="0" xfId="262" applyFont="1" applyFill="1"/>
    <xf numFmtId="0" fontId="83" fillId="33" borderId="1" xfId="263" applyFont="1" applyFill="1" applyBorder="1" applyAlignment="1">
      <alignment horizontal="center"/>
    </xf>
    <xf numFmtId="0" fontId="89" fillId="0" borderId="0" xfId="111" applyFont="1"/>
    <xf numFmtId="0" fontId="76" fillId="0" borderId="1" xfId="110" applyFont="1" applyBorder="1" applyAlignment="1">
      <alignment horizontal="center" vertical="center" wrapText="1"/>
    </xf>
    <xf numFmtId="171" fontId="54" fillId="0" borderId="1" xfId="110" applyNumberFormat="1" applyFont="1" applyBorder="1" applyAlignment="1">
      <alignment horizontal="center" vertical="center" wrapText="1"/>
    </xf>
    <xf numFmtId="164" fontId="54" fillId="0" borderId="1" xfId="99" applyFont="1" applyFill="1" applyBorder="1" applyAlignment="1">
      <alignment horizontal="center" vertical="center"/>
    </xf>
    <xf numFmtId="0" fontId="50" fillId="0" borderId="1" xfId="110" applyFont="1" applyBorder="1" applyAlignment="1">
      <alignment horizontal="center" vertical="center" wrapText="1"/>
    </xf>
    <xf numFmtId="0" fontId="54" fillId="0" borderId="1" xfId="110" applyFont="1" applyBorder="1" applyAlignment="1">
      <alignment horizontal="center" vertical="center" wrapText="1"/>
    </xf>
    <xf numFmtId="166" fontId="54" fillId="0" borderId="1" xfId="110" applyNumberFormat="1" applyFont="1" applyBorder="1" applyAlignment="1">
      <alignment horizontal="center" vertical="center" wrapText="1"/>
    </xf>
    <xf numFmtId="166" fontId="50" fillId="0" borderId="1" xfId="110" applyNumberFormat="1" applyFont="1" applyBorder="1" applyAlignment="1">
      <alignment horizontal="center" vertical="center" wrapText="1"/>
    </xf>
    <xf numFmtId="0" fontId="54" fillId="0" borderId="1" xfId="110" applyFont="1" applyBorder="1" applyAlignment="1">
      <alignment horizontal="left" vertical="center" wrapText="1"/>
    </xf>
    <xf numFmtId="0" fontId="50" fillId="0" borderId="1" xfId="111" applyFont="1" applyBorder="1"/>
    <xf numFmtId="0" fontId="50" fillId="0" borderId="1" xfId="111" applyFont="1" applyBorder="1" applyAlignment="1">
      <alignment horizontal="left" vertical="center"/>
    </xf>
    <xf numFmtId="43" fontId="50" fillId="0" borderId="1" xfId="57" applyFont="1" applyBorder="1"/>
    <xf numFmtId="0" fontId="90" fillId="0" borderId="1" xfId="110" applyFont="1" applyBorder="1" applyAlignment="1">
      <alignment horizontal="left" vertical="center" wrapText="1"/>
    </xf>
    <xf numFmtId="165" fontId="90" fillId="0" borderId="1" xfId="112" applyNumberFormat="1" applyFont="1" applyFill="1" applyBorder="1"/>
    <xf numFmtId="0" fontId="50" fillId="0" borderId="12" xfId="111" applyFont="1" applyBorder="1" applyAlignment="1">
      <alignment horizontal="center"/>
    </xf>
    <xf numFmtId="0" fontId="72" fillId="0" borderId="1" xfId="111" applyFont="1" applyBorder="1" applyAlignment="1">
      <alignment vertical="center" wrapText="1"/>
    </xf>
    <xf numFmtId="165" fontId="72" fillId="0" borderId="1" xfId="112" applyNumberFormat="1" applyFont="1" applyFill="1" applyBorder="1" applyAlignment="1">
      <alignment vertical="center"/>
    </xf>
    <xf numFmtId="0" fontId="72" fillId="0" borderId="1" xfId="111" applyFont="1" applyBorder="1" applyAlignment="1">
      <alignment vertical="center"/>
    </xf>
    <xf numFmtId="43" fontId="72" fillId="0" borderId="1" xfId="111" applyNumberFormat="1" applyFont="1" applyBorder="1" applyAlignment="1">
      <alignment vertical="center"/>
    </xf>
    <xf numFmtId="0" fontId="50" fillId="0" borderId="1" xfId="111" applyFont="1" applyBorder="1" applyAlignment="1">
      <alignment horizontal="center"/>
    </xf>
    <xf numFmtId="0" fontId="50" fillId="0" borderId="1" xfId="111" applyFont="1" applyBorder="1" applyAlignment="1">
      <alignment horizontal="left"/>
    </xf>
    <xf numFmtId="0" fontId="50" fillId="0" borderId="1" xfId="110" applyFont="1" applyBorder="1" applyAlignment="1">
      <alignment horizontal="left" vertical="center" wrapText="1"/>
    </xf>
    <xf numFmtId="172" fontId="54" fillId="0" borderId="1" xfId="261" applyNumberFormat="1" applyFont="1" applyBorder="1" applyAlignment="1">
      <alignment horizontal="center" vertical="center" wrapText="1"/>
    </xf>
    <xf numFmtId="0" fontId="90" fillId="0" borderId="1" xfId="110" applyFont="1" applyBorder="1" applyAlignment="1">
      <alignment horizontal="center" vertical="center" wrapText="1"/>
    </xf>
    <xf numFmtId="171" fontId="90" fillId="0" borderId="1" xfId="110" applyNumberFormat="1" applyFont="1" applyBorder="1" applyAlignment="1">
      <alignment horizontal="center" vertical="center" wrapText="1"/>
    </xf>
    <xf numFmtId="0" fontId="54" fillId="0" borderId="1" xfId="110" applyFont="1" applyBorder="1" applyAlignment="1">
      <alignment vertical="center" wrapText="1"/>
    </xf>
    <xf numFmtId="0" fontId="54" fillId="0" borderId="12" xfId="110" applyFont="1" applyBorder="1" applyAlignment="1">
      <alignment horizontal="center" vertical="center" wrapText="1"/>
    </xf>
    <xf numFmtId="0" fontId="54" fillId="0" borderId="13" xfId="110" applyFont="1" applyBorder="1" applyAlignment="1">
      <alignment horizontal="center" vertical="center" wrapText="1"/>
    </xf>
    <xf numFmtId="168" fontId="90" fillId="0" borderId="1" xfId="112" applyNumberFormat="1" applyFont="1" applyFill="1" applyBorder="1" applyAlignment="1">
      <alignment horizontal="center" vertical="center"/>
    </xf>
    <xf numFmtId="165" fontId="90" fillId="0" borderId="1" xfId="112" applyNumberFormat="1" applyFont="1" applyFill="1" applyBorder="1" applyAlignment="1">
      <alignment vertical="center"/>
    </xf>
    <xf numFmtId="168" fontId="90" fillId="0" borderId="1" xfId="112" applyNumberFormat="1" applyFont="1" applyFill="1" applyBorder="1" applyAlignment="1">
      <alignment vertical="center"/>
    </xf>
    <xf numFmtId="0" fontId="50" fillId="0" borderId="13" xfId="111" applyFont="1" applyBorder="1" applyAlignment="1">
      <alignment horizontal="center"/>
    </xf>
    <xf numFmtId="43" fontId="50" fillId="0" borderId="1" xfId="111" applyNumberFormat="1" applyFont="1" applyBorder="1"/>
    <xf numFmtId="164" fontId="54" fillId="0" borderId="1" xfId="110" applyNumberFormat="1" applyFont="1" applyBorder="1" applyAlignment="1">
      <alignment horizontal="center" vertical="center" wrapText="1"/>
    </xf>
    <xf numFmtId="164" fontId="50" fillId="0" borderId="1" xfId="111" applyNumberFormat="1" applyFont="1" applyBorder="1"/>
    <xf numFmtId="164" fontId="90" fillId="0" borderId="1" xfId="112" applyNumberFormat="1" applyFont="1" applyFill="1" applyBorder="1" applyAlignment="1">
      <alignment vertical="center"/>
    </xf>
    <xf numFmtId="165" fontId="50" fillId="0" borderId="1" xfId="112" applyNumberFormat="1" applyFont="1" applyFill="1" applyBorder="1" applyAlignment="1">
      <alignment vertical="center"/>
    </xf>
    <xf numFmtId="164" fontId="72" fillId="0" borderId="1" xfId="112" applyNumberFormat="1" applyFont="1" applyFill="1" applyBorder="1" applyAlignment="1">
      <alignment vertical="center"/>
    </xf>
    <xf numFmtId="165" fontId="50" fillId="0" borderId="1" xfId="112" applyNumberFormat="1" applyFont="1" applyFill="1" applyBorder="1"/>
    <xf numFmtId="0" fontId="50" fillId="0" borderId="1" xfId="0" applyFont="1" applyBorder="1" applyAlignment="1"/>
    <xf numFmtId="0" fontId="72" fillId="0" borderId="1" xfId="0" applyFont="1" applyBorder="1" applyAlignment="1">
      <alignment vertical="center" wrapText="1"/>
    </xf>
    <xf numFmtId="0" fontId="54" fillId="33" borderId="1" xfId="110" applyFont="1" applyFill="1" applyBorder="1" applyAlignment="1">
      <alignment horizontal="center" vertical="center" wrapText="1"/>
    </xf>
    <xf numFmtId="0" fontId="54" fillId="33" borderId="1" xfId="110" applyFont="1" applyFill="1" applyBorder="1" applyAlignment="1">
      <alignment horizontal="left" vertical="center" wrapText="1"/>
    </xf>
    <xf numFmtId="0" fontId="90" fillId="33" borderId="1" xfId="110" applyFont="1" applyFill="1" applyBorder="1" applyAlignment="1">
      <alignment horizontal="left" vertical="center" wrapText="1"/>
    </xf>
    <xf numFmtId="43" fontId="50" fillId="0" borderId="1" xfId="57" applyFont="1" applyFill="1" applyBorder="1"/>
    <xf numFmtId="171" fontId="50" fillId="0" borderId="1" xfId="111" applyNumberFormat="1" applyFont="1" applyBorder="1"/>
    <xf numFmtId="0" fontId="90" fillId="33" borderId="15" xfId="110" applyFont="1" applyFill="1" applyBorder="1" applyAlignment="1">
      <alignment horizontal="left" vertical="center" wrapText="1"/>
    </xf>
    <xf numFmtId="0" fontId="72" fillId="33" borderId="15" xfId="111" applyFont="1" applyFill="1" applyBorder="1" applyAlignment="1">
      <alignment vertical="center" wrapText="1"/>
    </xf>
    <xf numFmtId="0" fontId="50" fillId="0" borderId="14" xfId="111" applyFont="1" applyBorder="1"/>
    <xf numFmtId="0" fontId="90" fillId="0" borderId="15" xfId="110" applyFont="1" applyBorder="1" applyAlignment="1">
      <alignment horizontal="left" vertical="center" wrapText="1"/>
    </xf>
    <xf numFmtId="0" fontId="50" fillId="0" borderId="1" xfId="111" applyFont="1" applyBorder="1" applyAlignment="1">
      <alignment vertical="center"/>
    </xf>
    <xf numFmtId="0" fontId="72" fillId="0" borderId="1" xfId="262" applyFont="1" applyBorder="1" applyAlignment="1">
      <alignment vertical="center" wrapText="1"/>
    </xf>
    <xf numFmtId="165" fontId="72" fillId="33" borderId="1" xfId="63" applyNumberFormat="1" applyFont="1" applyFill="1" applyBorder="1" applyAlignment="1">
      <alignment vertical="center"/>
    </xf>
    <xf numFmtId="0" fontId="50" fillId="33" borderId="1" xfId="111" applyFont="1" applyFill="1" applyBorder="1"/>
    <xf numFmtId="171" fontId="90" fillId="33" borderId="1" xfId="112" applyNumberFormat="1" applyFont="1" applyFill="1" applyBorder="1" applyAlignment="1">
      <alignment vertical="center"/>
    </xf>
    <xf numFmtId="165" fontId="90" fillId="33" borderId="1" xfId="112" applyNumberFormat="1" applyFont="1" applyFill="1" applyBorder="1" applyAlignment="1">
      <alignment vertical="center"/>
    </xf>
    <xf numFmtId="0" fontId="50" fillId="33" borderId="1" xfId="263" applyFont="1" applyFill="1" applyBorder="1" applyAlignment="1"/>
    <xf numFmtId="165" fontId="72" fillId="0" borderId="1" xfId="63" applyNumberFormat="1" applyFont="1" applyFill="1" applyBorder="1" applyAlignment="1">
      <alignment vertical="center"/>
    </xf>
    <xf numFmtId="0" fontId="50" fillId="33" borderId="1" xfId="111" applyFont="1" applyFill="1" applyBorder="1" applyAlignment="1">
      <alignment horizontal="center"/>
    </xf>
    <xf numFmtId="0" fontId="50" fillId="33" borderId="1" xfId="262" applyFont="1" applyFill="1" applyBorder="1"/>
    <xf numFmtId="0" fontId="90" fillId="33" borderId="1" xfId="262" applyFont="1" applyFill="1" applyBorder="1" applyAlignment="1">
      <alignment vertical="center" wrapText="1"/>
    </xf>
    <xf numFmtId="165" fontId="90" fillId="33" borderId="1" xfId="63" applyNumberFormat="1" applyFont="1" applyFill="1" applyBorder="1"/>
    <xf numFmtId="173" fontId="72" fillId="33" borderId="1" xfId="63" applyNumberFormat="1" applyFont="1" applyFill="1" applyBorder="1" applyAlignment="1">
      <alignment vertical="center"/>
    </xf>
    <xf numFmtId="43" fontId="90" fillId="33" borderId="1" xfId="57" applyFont="1" applyFill="1" applyBorder="1"/>
    <xf numFmtId="0" fontId="50" fillId="33" borderId="1" xfId="263" applyFont="1" applyFill="1" applyBorder="1" applyAlignment="1">
      <alignment horizontal="center"/>
    </xf>
    <xf numFmtId="0" fontId="91" fillId="33" borderId="0" xfId="262" applyFont="1" applyFill="1"/>
    <xf numFmtId="0" fontId="91" fillId="33" borderId="0" xfId="111" applyFont="1" applyFill="1"/>
    <xf numFmtId="165" fontId="91" fillId="33" borderId="0" xfId="262" applyNumberFormat="1" applyFont="1" applyFill="1" applyAlignment="1">
      <alignment horizontal="center"/>
    </xf>
    <xf numFmtId="0" fontId="83" fillId="33" borderId="0" xfId="111" applyFont="1" applyFill="1" applyAlignment="1">
      <alignment horizontal="left" vertical="top" wrapText="1"/>
    </xf>
    <xf numFmtId="171" fontId="83" fillId="33" borderId="0" xfId="111" applyNumberFormat="1" applyFont="1" applyFill="1" applyAlignment="1">
      <alignment horizontal="left" vertical="top" wrapText="1"/>
    </xf>
    <xf numFmtId="43" fontId="50" fillId="33" borderId="1" xfId="112" applyFont="1" applyFill="1" applyBorder="1" applyAlignment="1">
      <alignment horizontal="center" vertical="top" wrapText="1"/>
    </xf>
    <xf numFmtId="43" fontId="54" fillId="33" borderId="1" xfId="112" applyFont="1" applyFill="1" applyBorder="1" applyAlignment="1">
      <alignment horizontal="center" vertical="top" wrapText="1"/>
    </xf>
    <xf numFmtId="43" fontId="54" fillId="33" borderId="1" xfId="112" applyFont="1" applyFill="1" applyBorder="1" applyAlignment="1">
      <alignment horizontal="center" vertical="top"/>
    </xf>
    <xf numFmtId="43" fontId="50" fillId="33" borderId="0" xfId="112" applyFont="1" applyFill="1" applyAlignment="1">
      <alignment horizontal="center" vertical="top" wrapText="1"/>
    </xf>
    <xf numFmtId="43" fontId="50" fillId="33" borderId="1" xfId="112" applyFont="1" applyFill="1" applyBorder="1" applyAlignment="1">
      <alignment horizontal="left" vertical="top" wrapText="1"/>
    </xf>
    <xf numFmtId="43" fontId="50" fillId="33" borderId="0" xfId="112" applyFont="1" applyFill="1" applyAlignment="1">
      <alignment horizontal="left" vertical="top" wrapText="1"/>
    </xf>
    <xf numFmtId="43" fontId="54" fillId="33" borderId="1" xfId="112" applyFont="1" applyFill="1" applyBorder="1" applyAlignment="1">
      <alignment horizontal="left" vertical="top" wrapText="1"/>
    </xf>
    <xf numFmtId="43" fontId="54" fillId="33" borderId="1" xfId="112" applyFont="1" applyFill="1" applyBorder="1" applyAlignment="1">
      <alignment horizontal="right" vertical="top"/>
    </xf>
    <xf numFmtId="43" fontId="82" fillId="33" borderId="0" xfId="112" applyFont="1" applyFill="1" applyAlignment="1">
      <alignment horizontal="left" vertical="top" wrapText="1"/>
    </xf>
    <xf numFmtId="43" fontId="83" fillId="33" borderId="0" xfId="112" applyFont="1" applyFill="1" applyAlignment="1">
      <alignment horizontal="center" vertical="top" wrapText="1"/>
    </xf>
    <xf numFmtId="43" fontId="83" fillId="33" borderId="0" xfId="112" applyFont="1" applyFill="1" applyAlignment="1">
      <alignment horizontal="left" vertical="top" wrapText="1"/>
    </xf>
    <xf numFmtId="166" fontId="75" fillId="33" borderId="1" xfId="107" applyNumberFormat="1" applyFont="1" applyFill="1" applyBorder="1">
      <alignment horizontal="right" vertical="top"/>
    </xf>
    <xf numFmtId="0" fontId="50" fillId="33" borderId="1" xfId="111" applyFont="1" applyFill="1" applyBorder="1" applyAlignment="1">
      <alignment horizontal="center" vertical="top" wrapText="1"/>
    </xf>
    <xf numFmtId="0" fontId="50" fillId="33" borderId="1" xfId="111" applyFont="1" applyFill="1" applyBorder="1" applyAlignment="1">
      <alignment vertical="top" wrapText="1"/>
    </xf>
    <xf numFmtId="0" fontId="54" fillId="33" borderId="1" xfId="112" applyNumberFormat="1" applyFont="1" applyFill="1" applyBorder="1" applyAlignment="1">
      <alignment horizontal="left" vertical="top" wrapText="1"/>
    </xf>
    <xf numFmtId="0" fontId="50" fillId="33" borderId="1" xfId="111" applyFont="1" applyFill="1" applyBorder="1" applyAlignment="1">
      <alignment horizontal="left" vertical="top" wrapText="1"/>
    </xf>
    <xf numFmtId="1" fontId="50" fillId="33" borderId="1" xfId="112" applyNumberFormat="1" applyFont="1" applyFill="1" applyBorder="1" applyAlignment="1">
      <alignment horizontal="center" vertical="top" wrapText="1"/>
    </xf>
    <xf numFmtId="43" fontId="50" fillId="33" borderId="1" xfId="112" applyFont="1" applyFill="1" applyBorder="1" applyAlignment="1">
      <alignment horizontal="center" vertical="top"/>
    </xf>
    <xf numFmtId="43" fontId="72" fillId="33" borderId="1" xfId="112" applyFont="1" applyFill="1" applyBorder="1" applyAlignment="1">
      <alignment horizontal="left" vertical="top" wrapText="1"/>
    </xf>
    <xf numFmtId="43" fontId="72" fillId="33" borderId="1" xfId="112" applyFont="1" applyFill="1" applyBorder="1" applyAlignment="1">
      <alignment horizontal="right" vertical="top"/>
    </xf>
    <xf numFmtId="164" fontId="50" fillId="33" borderId="1" xfId="99" applyFont="1" applyFill="1" applyBorder="1">
      <alignment horizontal="right" vertical="top"/>
    </xf>
    <xf numFmtId="0" fontId="50" fillId="0" borderId="15" xfId="111" applyFont="1" applyBorder="1" applyAlignment="1">
      <alignment horizontal="left" vertical="top" wrapText="1"/>
    </xf>
    <xf numFmtId="0" fontId="50" fillId="33" borderId="1" xfId="0" applyFont="1" applyFill="1" applyBorder="1" applyAlignment="1">
      <alignment horizontal="center" vertical="center" wrapText="1"/>
    </xf>
    <xf numFmtId="0" fontId="92" fillId="0" borderId="1" xfId="0" applyFont="1" applyBorder="1">
      <alignment horizontal="left" vertical="top" wrapText="1"/>
    </xf>
    <xf numFmtId="0" fontId="93" fillId="0" borderId="1" xfId="110" applyFont="1" applyFill="1" applyBorder="1" applyAlignment="1">
      <alignment horizontal="left" vertical="center" wrapText="1"/>
    </xf>
    <xf numFmtId="164" fontId="93" fillId="0" borderId="1" xfId="110" applyNumberFormat="1" applyFont="1" applyFill="1" applyBorder="1" applyAlignment="1">
      <alignment horizontal="right" vertical="top" wrapText="1"/>
    </xf>
    <xf numFmtId="0" fontId="94" fillId="0" borderId="1" xfId="0" applyFont="1" applyBorder="1" applyAlignment="1">
      <alignment horizontal="left" vertical="top" wrapText="1"/>
    </xf>
    <xf numFmtId="164" fontId="94" fillId="0" borderId="1" xfId="264" applyNumberFormat="1" applyFont="1" applyBorder="1" applyAlignment="1">
      <alignment horizontal="right" vertical="top"/>
    </xf>
    <xf numFmtId="0" fontId="93" fillId="0" borderId="1" xfId="0" applyFont="1" applyBorder="1" applyAlignment="1">
      <alignment horizontal="center" vertical="top" wrapText="1"/>
    </xf>
    <xf numFmtId="164" fontId="92" fillId="0" borderId="1" xfId="0" applyNumberFormat="1" applyFont="1" applyBorder="1" applyAlignment="1">
      <alignment horizontal="left" vertical="top" wrapText="1"/>
    </xf>
    <xf numFmtId="164" fontId="90" fillId="0" borderId="1" xfId="264" applyNumberFormat="1" applyFont="1" applyBorder="1" applyAlignment="1">
      <alignment horizontal="right" vertical="top"/>
    </xf>
    <xf numFmtId="164" fontId="50" fillId="0" borderId="0" xfId="0" applyNumberFormat="1" applyFont="1">
      <alignment horizontal="left" vertical="top" wrapText="1"/>
    </xf>
    <xf numFmtId="0" fontId="54" fillId="33" borderId="1" xfId="108" applyFont="1" applyFill="1" applyBorder="1" applyAlignment="1">
      <alignment horizontal="center" vertical="center" wrapText="1"/>
    </xf>
    <xf numFmtId="0" fontId="90" fillId="0" borderId="1" xfId="0" applyFont="1" applyBorder="1" applyAlignment="1">
      <alignment horizontal="left" vertical="top" wrapText="1"/>
    </xf>
    <xf numFmtId="164" fontId="54" fillId="0" borderId="1" xfId="99" applyFont="1" applyFill="1" applyBorder="1" applyAlignment="1">
      <alignment horizontal="right" vertical="center"/>
    </xf>
    <xf numFmtId="0" fontId="50" fillId="33" borderId="0" xfId="0" applyFont="1" applyFill="1" applyAlignment="1">
      <alignment horizontal="center" vertical="center" wrapText="1"/>
    </xf>
    <xf numFmtId="0" fontId="50" fillId="33" borderId="0" xfId="0" applyFont="1" applyFill="1">
      <alignment horizontal="left" vertical="top" wrapText="1"/>
    </xf>
    <xf numFmtId="0" fontId="50" fillId="33" borderId="0" xfId="0" applyFont="1" applyFill="1" applyAlignment="1">
      <alignment horizontal="right"/>
    </xf>
    <xf numFmtId="0" fontId="74" fillId="33" borderId="0" xfId="0" applyFont="1" applyFill="1" applyAlignment="1"/>
    <xf numFmtId="0" fontId="54" fillId="33" borderId="0" xfId="0" applyFont="1" applyFill="1" applyAlignment="1">
      <alignment horizontal="center" vertical="center" wrapText="1"/>
    </xf>
    <xf numFmtId="0" fontId="50" fillId="33" borderId="1" xfId="0" applyFont="1" applyFill="1" applyBorder="1" applyAlignment="1">
      <alignment horizontal="left" vertical="center" wrapText="1"/>
    </xf>
    <xf numFmtId="0" fontId="50" fillId="33" borderId="1" xfId="0" applyFont="1" applyFill="1" applyBorder="1">
      <alignment horizontal="left" vertical="top" wrapText="1"/>
    </xf>
    <xf numFmtId="164" fontId="54" fillId="33" borderId="1" xfId="109" applyFont="1" applyFill="1" applyBorder="1" applyAlignment="1">
      <alignment horizontal="right" vertical="center"/>
    </xf>
    <xf numFmtId="0" fontId="54" fillId="33" borderId="1" xfId="0" applyFont="1" applyFill="1" applyBorder="1" applyAlignment="1">
      <alignment vertical="center"/>
    </xf>
    <xf numFmtId="0" fontId="54" fillId="33" borderId="1" xfId="0" applyFont="1" applyFill="1" applyBorder="1" applyAlignment="1">
      <alignment horizontal="left" vertical="center" wrapText="1"/>
    </xf>
    <xf numFmtId="164" fontId="50" fillId="33" borderId="1" xfId="99" applyFont="1" applyFill="1" applyBorder="1" applyAlignment="1">
      <alignment horizontal="right" vertical="center"/>
    </xf>
    <xf numFmtId="0" fontId="54" fillId="33" borderId="1" xfId="0" applyFont="1" applyFill="1" applyBorder="1" applyAlignment="1">
      <alignment horizontal="left" vertical="center"/>
    </xf>
    <xf numFmtId="164" fontId="54" fillId="33" borderId="1" xfId="99" applyFont="1" applyFill="1" applyBorder="1" applyAlignment="1">
      <alignment horizontal="right" vertical="center"/>
    </xf>
    <xf numFmtId="0" fontId="84" fillId="33" borderId="1" xfId="111" applyFont="1" applyFill="1" applyBorder="1" applyAlignment="1">
      <alignment horizontal="left" vertical="center" wrapText="1"/>
    </xf>
    <xf numFmtId="164" fontId="54" fillId="33" borderId="1" xfId="238" applyFont="1" applyFill="1" applyBorder="1" applyAlignment="1">
      <alignment horizontal="right" vertical="center"/>
    </xf>
    <xf numFmtId="164" fontId="50" fillId="33" borderId="1" xfId="237" applyFont="1" applyFill="1" applyBorder="1" applyAlignment="1">
      <alignment horizontal="right" vertical="center"/>
    </xf>
    <xf numFmtId="0" fontId="50" fillId="33" borderId="0" xfId="0" applyFont="1" applyFill="1" applyAlignment="1">
      <alignment horizontal="left" vertical="center" wrapText="1"/>
    </xf>
    <xf numFmtId="164" fontId="50" fillId="33" borderId="0" xfId="0" applyNumberFormat="1" applyFont="1" applyFill="1" applyAlignment="1">
      <alignment horizontal="left" vertical="center" wrapText="1"/>
    </xf>
    <xf numFmtId="0" fontId="50" fillId="0" borderId="0" xfId="0" applyFont="1" applyAlignment="1">
      <alignment horizontal="center" vertical="center"/>
    </xf>
    <xf numFmtId="0" fontId="50" fillId="0" borderId="0" xfId="0" applyFont="1" applyAlignment="1"/>
    <xf numFmtId="0" fontId="54" fillId="0" borderId="0" xfId="0" applyFont="1" applyAlignment="1">
      <alignment horizontal="center" vertical="center"/>
    </xf>
    <xf numFmtId="0" fontId="72" fillId="0" borderId="11" xfId="0" applyFont="1" applyBorder="1" applyAlignment="1">
      <alignment horizontal="right"/>
    </xf>
    <xf numFmtId="0" fontId="92" fillId="33" borderId="1" xfId="0" applyFont="1" applyFill="1" applyBorder="1" applyAlignment="1">
      <alignment horizontal="left" vertical="center" wrapText="1"/>
    </xf>
    <xf numFmtId="0" fontId="92" fillId="33" borderId="1" xfId="0" applyFont="1" applyFill="1" applyBorder="1" applyAlignment="1">
      <alignment horizontal="center" vertical="center" wrapText="1"/>
    </xf>
    <xf numFmtId="0" fontId="92" fillId="0" borderId="0" xfId="0" applyFont="1">
      <alignment horizontal="left" vertical="top" wrapText="1"/>
    </xf>
    <xf numFmtId="0" fontId="92" fillId="0" borderId="1" xfId="0" applyFont="1" applyBorder="1" applyAlignment="1">
      <alignment horizontal="left" vertical="center" wrapText="1"/>
    </xf>
    <xf numFmtId="166" fontId="92" fillId="0" borderId="1" xfId="0" applyNumberFormat="1" applyFont="1" applyBorder="1" applyAlignment="1">
      <alignment horizontal="right" vertical="center" wrapText="1"/>
    </xf>
    <xf numFmtId="0" fontId="72" fillId="0" borderId="11" xfId="0" applyFont="1" applyBorder="1" applyAlignment="1">
      <alignment horizontal="right" vertical="center"/>
    </xf>
    <xf numFmtId="0" fontId="92" fillId="33" borderId="1" xfId="0" applyFont="1" applyFill="1" applyBorder="1" applyAlignment="1">
      <alignment vertical="center" wrapText="1"/>
    </xf>
    <xf numFmtId="4" fontId="92" fillId="0" borderId="1" xfId="0" applyNumberFormat="1" applyFont="1" applyBorder="1" applyAlignment="1">
      <alignment horizontal="right" vertical="center" wrapText="1"/>
    </xf>
    <xf numFmtId="0" fontId="96" fillId="0" borderId="0" xfId="0" applyFont="1" applyAlignment="1">
      <alignment horizontal="justify" vertical="center" wrapText="1"/>
    </xf>
    <xf numFmtId="0" fontId="54" fillId="33" borderId="0" xfId="0" applyFont="1" applyFill="1" applyAlignment="1"/>
    <xf numFmtId="165" fontId="72" fillId="33" borderId="0" xfId="0" applyNumberFormat="1" applyFont="1" applyFill="1" applyAlignment="1">
      <alignment horizontal="right"/>
    </xf>
    <xf numFmtId="0" fontId="50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vertical="center"/>
    </xf>
    <xf numFmtId="164" fontId="50" fillId="0" borderId="1" xfId="0" applyNumberFormat="1" applyFont="1" applyBorder="1" applyAlignment="1">
      <alignment horizontal="right" vertical="center"/>
    </xf>
    <xf numFmtId="0" fontId="92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left" vertical="center" wrapText="1"/>
    </xf>
    <xf numFmtId="164" fontId="75" fillId="0" borderId="1" xfId="109" applyFont="1" applyBorder="1" applyAlignment="1">
      <alignment horizontal="right" vertical="center"/>
    </xf>
    <xf numFmtId="164" fontId="92" fillId="0" borderId="1" xfId="99" applyFont="1" applyBorder="1" applyAlignment="1">
      <alignment horizontal="right" vertical="center"/>
    </xf>
    <xf numFmtId="0" fontId="92" fillId="0" borderId="1" xfId="0" applyFont="1" applyBorder="1" applyAlignment="1">
      <alignment horizontal="right" vertical="center" wrapText="1"/>
    </xf>
    <xf numFmtId="0" fontId="50" fillId="0" borderId="1" xfId="0" applyFont="1" applyBorder="1" applyAlignment="1">
      <alignment horizontal="left" vertical="center" wrapText="1"/>
    </xf>
    <xf numFmtId="164" fontId="54" fillId="33" borderId="1" xfId="237" applyFont="1" applyFill="1" applyBorder="1" applyAlignment="1">
      <alignment horizontal="right" vertical="center"/>
    </xf>
    <xf numFmtId="0" fontId="74" fillId="33" borderId="0" xfId="0" applyFont="1" applyFill="1" applyAlignment="1">
      <alignment horizontal="right"/>
    </xf>
    <xf numFmtId="0" fontId="92" fillId="0" borderId="1" xfId="0" applyFont="1" applyBorder="1">
      <alignment horizontal="left" vertical="top" wrapText="1"/>
    </xf>
    <xf numFmtId="0" fontId="75" fillId="0" borderId="1" xfId="0" applyFont="1" applyBorder="1" applyAlignment="1">
      <alignment horizontal="center" vertical="top" wrapText="1"/>
    </xf>
    <xf numFmtId="0" fontId="92" fillId="0" borderId="1" xfId="0" applyFont="1" applyBorder="1" applyAlignment="1">
      <alignment horizontal="center" vertical="top" wrapText="1"/>
    </xf>
    <xf numFmtId="0" fontId="92" fillId="0" borderId="1" xfId="0" applyFont="1" applyBorder="1" applyAlignment="1">
      <alignment horizontal="left" vertical="top" wrapText="1"/>
    </xf>
    <xf numFmtId="0" fontId="75" fillId="0" borderId="1" xfId="0" applyFont="1" applyBorder="1" applyAlignment="1">
      <alignment horizontal="left" vertical="top" wrapText="1"/>
    </xf>
    <xf numFmtId="0" fontId="54" fillId="33" borderId="1" xfId="0" applyFont="1" applyFill="1" applyBorder="1" applyAlignment="1">
      <alignment horizontal="left" vertical="center" wrapText="1"/>
    </xf>
    <xf numFmtId="0" fontId="54" fillId="33" borderId="1" xfId="0" applyFont="1" applyFill="1" applyBorder="1" applyAlignment="1">
      <alignment horizontal="center" vertical="center" wrapText="1"/>
    </xf>
    <xf numFmtId="0" fontId="50" fillId="33" borderId="1" xfId="0" applyFont="1" applyFill="1" applyBorder="1" applyAlignment="1">
      <alignment horizontal="center" vertical="center" wrapText="1"/>
    </xf>
    <xf numFmtId="0" fontId="92" fillId="0" borderId="1" xfId="0" applyFont="1" applyBorder="1" applyAlignment="1">
      <alignment horizontal="center" vertical="top" wrapText="1"/>
    </xf>
    <xf numFmtId="0" fontId="50" fillId="33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33" borderId="0" xfId="0" applyFont="1" applyFill="1" applyAlignment="1">
      <alignment horizontal="center" vertical="center" wrapText="1"/>
    </xf>
    <xf numFmtId="0" fontId="54" fillId="33" borderId="1" xfId="0" applyFont="1" applyFill="1" applyBorder="1" applyAlignment="1">
      <alignment horizontal="left" vertical="center" wrapText="1"/>
    </xf>
    <xf numFmtId="0" fontId="72" fillId="33" borderId="11" xfId="0" applyFont="1" applyFill="1" applyBorder="1" applyAlignment="1">
      <alignment horizontal="right" wrapText="1" indent="1"/>
    </xf>
    <xf numFmtId="0" fontId="54" fillId="33" borderId="1" xfId="0" applyFont="1" applyFill="1" applyBorder="1" applyAlignment="1">
      <alignment horizontal="center" vertical="center" wrapText="1"/>
    </xf>
    <xf numFmtId="0" fontId="50" fillId="0" borderId="0" xfId="114" applyFont="1" applyAlignment="1">
      <alignment horizontal="center" vertical="center" wrapText="1"/>
    </xf>
    <xf numFmtId="0" fontId="50" fillId="33" borderId="1" xfId="0" applyFont="1" applyFill="1" applyBorder="1" applyAlignment="1">
      <alignment horizontal="center" vertical="center" wrapText="1"/>
    </xf>
    <xf numFmtId="0" fontId="82" fillId="0" borderId="13" xfId="110" applyFont="1" applyBorder="1" applyAlignment="1">
      <alignment horizontal="center" vertical="center" wrapText="1"/>
    </xf>
    <xf numFmtId="0" fontId="82" fillId="0" borderId="14" xfId="110" applyFont="1" applyBorder="1" applyAlignment="1">
      <alignment horizontal="center" vertical="center" wrapText="1"/>
    </xf>
    <xf numFmtId="0" fontId="54" fillId="0" borderId="13" xfId="110" applyFont="1" applyBorder="1" applyAlignment="1">
      <alignment horizontal="center" vertical="center" wrapText="1"/>
    </xf>
    <xf numFmtId="0" fontId="54" fillId="0" borderId="14" xfId="110" applyFont="1" applyBorder="1" applyAlignment="1">
      <alignment horizontal="center" vertical="center" wrapText="1"/>
    </xf>
    <xf numFmtId="0" fontId="82" fillId="0" borderId="12" xfId="110" applyFont="1" applyBorder="1" applyAlignment="1">
      <alignment horizontal="center" vertical="center" wrapText="1"/>
    </xf>
    <xf numFmtId="0" fontId="54" fillId="0" borderId="12" xfId="110" applyFont="1" applyBorder="1" applyAlignment="1">
      <alignment horizontal="center" vertical="center" wrapText="1"/>
    </xf>
    <xf numFmtId="0" fontId="83" fillId="0" borderId="13" xfId="111" applyFont="1" applyBorder="1" applyAlignment="1">
      <alignment horizontal="center"/>
    </xf>
    <xf numFmtId="0" fontId="83" fillId="0" borderId="14" xfId="111" applyFont="1" applyBorder="1" applyAlignment="1">
      <alignment horizontal="center"/>
    </xf>
    <xf numFmtId="0" fontId="83" fillId="0" borderId="12" xfId="111" applyFont="1" applyBorder="1" applyAlignment="1">
      <alignment horizontal="center"/>
    </xf>
    <xf numFmtId="0" fontId="50" fillId="0" borderId="13" xfId="111" applyFont="1" applyBorder="1" applyAlignment="1">
      <alignment horizontal="center"/>
    </xf>
    <xf numFmtId="0" fontId="50" fillId="0" borderId="14" xfId="111" applyFont="1" applyBorder="1" applyAlignment="1">
      <alignment horizontal="center"/>
    </xf>
    <xf numFmtId="0" fontId="50" fillId="0" borderId="12" xfId="111" applyFont="1" applyBorder="1" applyAlignment="1">
      <alignment horizontal="center"/>
    </xf>
    <xf numFmtId="0" fontId="83" fillId="33" borderId="0" xfId="263" applyFont="1" applyFill="1" applyAlignment="1">
      <alignment horizontal="center" vertical="center" wrapText="1"/>
    </xf>
    <xf numFmtId="0" fontId="50" fillId="33" borderId="16" xfId="111" applyFont="1" applyFill="1" applyBorder="1" applyAlignment="1">
      <alignment horizontal="center" vertical="top" wrapText="1"/>
    </xf>
    <xf numFmtId="0" fontId="50" fillId="33" borderId="17" xfId="111" applyFont="1" applyFill="1" applyBorder="1" applyAlignment="1">
      <alignment horizontal="center" vertical="top" wrapText="1"/>
    </xf>
    <xf numFmtId="0" fontId="50" fillId="33" borderId="20" xfId="111" applyFont="1" applyFill="1" applyBorder="1" applyAlignment="1">
      <alignment horizontal="center" vertical="top" wrapText="1"/>
    </xf>
    <xf numFmtId="0" fontId="50" fillId="33" borderId="21" xfId="111" applyFont="1" applyFill="1" applyBorder="1" applyAlignment="1">
      <alignment horizontal="center" vertical="top" wrapText="1"/>
    </xf>
    <xf numFmtId="0" fontId="50" fillId="33" borderId="22" xfId="111" applyFont="1" applyFill="1" applyBorder="1" applyAlignment="1">
      <alignment horizontal="center" vertical="top" wrapText="1"/>
    </xf>
    <xf numFmtId="0" fontId="50" fillId="33" borderId="23" xfId="111" applyFont="1" applyFill="1" applyBorder="1" applyAlignment="1">
      <alignment horizontal="center" vertical="top" wrapText="1"/>
    </xf>
    <xf numFmtId="0" fontId="50" fillId="33" borderId="13" xfId="111" applyFont="1" applyFill="1" applyBorder="1" applyAlignment="1">
      <alignment horizontal="center" vertical="top" wrapText="1"/>
    </xf>
    <xf numFmtId="0" fontId="50" fillId="33" borderId="14" xfId="111" applyFont="1" applyFill="1" applyBorder="1" applyAlignment="1">
      <alignment horizontal="center" vertical="top" wrapText="1"/>
    </xf>
    <xf numFmtId="0" fontId="50" fillId="33" borderId="12" xfId="111" applyFont="1" applyFill="1" applyBorder="1" applyAlignment="1">
      <alignment horizontal="center" vertical="top" wrapText="1"/>
    </xf>
    <xf numFmtId="174" fontId="50" fillId="33" borderId="18" xfId="111" applyNumberFormat="1" applyFont="1" applyFill="1" applyBorder="1" applyAlignment="1">
      <alignment horizontal="center" vertical="top" wrapText="1"/>
    </xf>
    <xf numFmtId="174" fontId="50" fillId="33" borderId="19" xfId="111" applyNumberFormat="1" applyFont="1" applyFill="1" applyBorder="1" applyAlignment="1">
      <alignment horizontal="center" vertical="top" wrapText="1"/>
    </xf>
    <xf numFmtId="174" fontId="50" fillId="33" borderId="15" xfId="111" applyNumberFormat="1" applyFont="1" applyFill="1" applyBorder="1" applyAlignment="1">
      <alignment horizontal="center" vertical="top" wrapText="1"/>
    </xf>
    <xf numFmtId="0" fontId="50" fillId="33" borderId="13" xfId="111" applyFont="1" applyFill="1" applyBorder="1" applyAlignment="1">
      <alignment horizontal="center" vertical="center" wrapText="1"/>
    </xf>
    <xf numFmtId="0" fontId="50" fillId="33" borderId="12" xfId="111" applyFont="1" applyFill="1" applyBorder="1" applyAlignment="1">
      <alignment horizontal="center" vertical="center" wrapText="1"/>
    </xf>
    <xf numFmtId="0" fontId="50" fillId="33" borderId="18" xfId="111" applyFont="1" applyFill="1" applyBorder="1" applyAlignment="1">
      <alignment horizontal="center" vertical="top" wrapText="1"/>
    </xf>
    <xf numFmtId="0" fontId="50" fillId="33" borderId="15" xfId="111" applyFont="1" applyFill="1" applyBorder="1" applyAlignment="1">
      <alignment horizontal="center" vertical="top" wrapText="1"/>
    </xf>
    <xf numFmtId="0" fontId="92" fillId="0" borderId="1" xfId="0" applyFont="1" applyBorder="1" applyAlignment="1">
      <alignment horizontal="center" vertical="top" wrapText="1"/>
    </xf>
    <xf numFmtId="0" fontId="50" fillId="0" borderId="18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</cellXfs>
  <cellStyles count="284">
    <cellStyle name="20% - Accent1" xfId="1" builtinId="30" customBuiltin="1"/>
    <cellStyle name="20% - Accent1 2" xfId="2"/>
    <cellStyle name="20% - Accent1 2 2" xfId="115"/>
    <cellStyle name="20% - Accent1 2 3" xfId="240"/>
    <cellStyle name="20% - Accent1 3" xfId="116"/>
    <cellStyle name="20% - Accent1 4" xfId="219"/>
    <cellStyle name="20% - Accent1 5" xfId="266"/>
    <cellStyle name="20% - Accent2" xfId="3" builtinId="34" customBuiltin="1"/>
    <cellStyle name="20% - Accent2 2" xfId="4"/>
    <cellStyle name="20% - Accent2 2 2" xfId="117"/>
    <cellStyle name="20% - Accent2 2 3" xfId="243"/>
    <cellStyle name="20% - Accent2 3" xfId="118"/>
    <cellStyle name="20% - Accent2 4" xfId="222"/>
    <cellStyle name="20% - Accent2 5" xfId="269"/>
    <cellStyle name="20% - Accent3" xfId="5" builtinId="38" customBuiltin="1"/>
    <cellStyle name="20% - Accent3 2" xfId="6"/>
    <cellStyle name="20% - Accent3 2 2" xfId="119"/>
    <cellStyle name="20% - Accent3 2 3" xfId="246"/>
    <cellStyle name="20% - Accent3 3" xfId="120"/>
    <cellStyle name="20% - Accent3 4" xfId="225"/>
    <cellStyle name="20% - Accent3 5" xfId="272"/>
    <cellStyle name="20% - Accent4" xfId="7" builtinId="42" customBuiltin="1"/>
    <cellStyle name="20% - Accent4 2" xfId="8"/>
    <cellStyle name="20% - Accent4 2 2" xfId="121"/>
    <cellStyle name="20% - Accent4 2 3" xfId="249"/>
    <cellStyle name="20% - Accent4 3" xfId="122"/>
    <cellStyle name="20% - Accent4 4" xfId="228"/>
    <cellStyle name="20% - Accent4 5" xfId="275"/>
    <cellStyle name="20% - Accent5" xfId="9" builtinId="46" customBuiltin="1"/>
    <cellStyle name="20% - Accent5 2" xfId="10"/>
    <cellStyle name="20% - Accent5 2 2" xfId="123"/>
    <cellStyle name="20% - Accent5 2 3" xfId="252"/>
    <cellStyle name="20% - Accent5 3" xfId="124"/>
    <cellStyle name="20% - Accent5 4" xfId="231"/>
    <cellStyle name="20% - Accent5 5" xfId="278"/>
    <cellStyle name="20% - Accent6" xfId="11" builtinId="50" customBuiltin="1"/>
    <cellStyle name="20% - Accent6 2" xfId="12"/>
    <cellStyle name="20% - Accent6 2 2" xfId="125"/>
    <cellStyle name="20% - Accent6 2 3" xfId="255"/>
    <cellStyle name="20% - Accent6 3" xfId="126"/>
    <cellStyle name="20% - Accent6 4" xfId="234"/>
    <cellStyle name="20% - Accent6 5" xfId="281"/>
    <cellStyle name="40% - Accent1" xfId="13" builtinId="31" customBuiltin="1"/>
    <cellStyle name="40% - Accent1 2" xfId="14"/>
    <cellStyle name="40% - Accent1 2 2" xfId="127"/>
    <cellStyle name="40% - Accent1 2 3" xfId="241"/>
    <cellStyle name="40% - Accent1 3" xfId="128"/>
    <cellStyle name="40% - Accent1 4" xfId="220"/>
    <cellStyle name="40% - Accent1 5" xfId="267"/>
    <cellStyle name="40% - Accent2" xfId="15" builtinId="35" customBuiltin="1"/>
    <cellStyle name="40% - Accent2 2" xfId="16"/>
    <cellStyle name="40% - Accent2 2 2" xfId="129"/>
    <cellStyle name="40% - Accent2 2 3" xfId="244"/>
    <cellStyle name="40% - Accent2 3" xfId="130"/>
    <cellStyle name="40% - Accent2 4" xfId="223"/>
    <cellStyle name="40% - Accent2 5" xfId="270"/>
    <cellStyle name="40% - Accent3" xfId="17" builtinId="39" customBuiltin="1"/>
    <cellStyle name="40% - Accent3 2" xfId="18"/>
    <cellStyle name="40% - Accent3 2 2" xfId="131"/>
    <cellStyle name="40% - Accent3 2 3" xfId="247"/>
    <cellStyle name="40% - Accent3 3" xfId="132"/>
    <cellStyle name="40% - Accent3 4" xfId="226"/>
    <cellStyle name="40% - Accent3 5" xfId="273"/>
    <cellStyle name="40% - Accent4" xfId="19" builtinId="43" customBuiltin="1"/>
    <cellStyle name="40% - Accent4 2" xfId="20"/>
    <cellStyle name="40% - Accent4 2 2" xfId="133"/>
    <cellStyle name="40% - Accent4 2 3" xfId="250"/>
    <cellStyle name="40% - Accent4 3" xfId="134"/>
    <cellStyle name="40% - Accent4 4" xfId="229"/>
    <cellStyle name="40% - Accent4 5" xfId="276"/>
    <cellStyle name="40% - Accent5" xfId="21" builtinId="47" customBuiltin="1"/>
    <cellStyle name="40% - Accent5 2" xfId="22"/>
    <cellStyle name="40% - Accent5 2 2" xfId="135"/>
    <cellStyle name="40% - Accent5 2 3" xfId="253"/>
    <cellStyle name="40% - Accent5 3" xfId="136"/>
    <cellStyle name="40% - Accent5 4" xfId="232"/>
    <cellStyle name="40% - Accent5 5" xfId="279"/>
    <cellStyle name="40% - Accent6" xfId="23" builtinId="51" customBuiltin="1"/>
    <cellStyle name="40% - Accent6 2" xfId="24"/>
    <cellStyle name="40% - Accent6 2 2" xfId="137"/>
    <cellStyle name="40% - Accent6 2 3" xfId="256"/>
    <cellStyle name="40% - Accent6 3" xfId="138"/>
    <cellStyle name="40% - Accent6 4" xfId="235"/>
    <cellStyle name="40% - Accent6 5" xfId="282"/>
    <cellStyle name="60% - Accent1" xfId="25" builtinId="32" customBuiltin="1"/>
    <cellStyle name="60% - Accent1 2" xfId="26"/>
    <cellStyle name="60% - Accent1 2 2" xfId="242"/>
    <cellStyle name="60% - Accent1 3" xfId="139"/>
    <cellStyle name="60% - Accent1 4" xfId="221"/>
    <cellStyle name="60% - Accent1 5" xfId="268"/>
    <cellStyle name="60% - Accent2" xfId="27" builtinId="36" customBuiltin="1"/>
    <cellStyle name="60% - Accent2 2" xfId="28"/>
    <cellStyle name="60% - Accent2 2 2" xfId="245"/>
    <cellStyle name="60% - Accent2 3" xfId="140"/>
    <cellStyle name="60% - Accent2 4" xfId="224"/>
    <cellStyle name="60% - Accent2 5" xfId="271"/>
    <cellStyle name="60% - Accent3" xfId="29" builtinId="40" customBuiltin="1"/>
    <cellStyle name="60% - Accent3 2" xfId="30"/>
    <cellStyle name="60% - Accent3 2 2" xfId="248"/>
    <cellStyle name="60% - Accent3 3" xfId="141"/>
    <cellStyle name="60% - Accent3 4" xfId="227"/>
    <cellStyle name="60% - Accent3 5" xfId="274"/>
    <cellStyle name="60% - Accent4" xfId="31" builtinId="44" customBuiltin="1"/>
    <cellStyle name="60% - Accent4 2" xfId="32"/>
    <cellStyle name="60% - Accent4 2 2" xfId="251"/>
    <cellStyle name="60% - Accent4 3" xfId="142"/>
    <cellStyle name="60% - Accent4 4" xfId="230"/>
    <cellStyle name="60% - Accent4 5" xfId="277"/>
    <cellStyle name="60% - Accent5" xfId="33" builtinId="48" customBuiltin="1"/>
    <cellStyle name="60% - Accent5 2" xfId="34"/>
    <cellStyle name="60% - Accent5 2 2" xfId="254"/>
    <cellStyle name="60% - Accent5 3" xfId="143"/>
    <cellStyle name="60% - Accent5 4" xfId="233"/>
    <cellStyle name="60% - Accent5 5" xfId="280"/>
    <cellStyle name="60% - Accent6" xfId="35" builtinId="52" customBuiltin="1"/>
    <cellStyle name="60% - Accent6 2" xfId="36"/>
    <cellStyle name="60% - Accent6 2 2" xfId="257"/>
    <cellStyle name="60% - Accent6 3" xfId="144"/>
    <cellStyle name="60% - Accent6 4" xfId="236"/>
    <cellStyle name="60% - Accent6 5" xfId="283"/>
    <cellStyle name="Accent1" xfId="37" builtinId="29" customBuiltin="1"/>
    <cellStyle name="Accent1 2" xfId="38"/>
    <cellStyle name="Accent1 3" xfId="145"/>
    <cellStyle name="Accent2" xfId="39" builtinId="33" customBuiltin="1"/>
    <cellStyle name="Accent2 2" xfId="40"/>
    <cellStyle name="Accent2 3" xfId="146"/>
    <cellStyle name="Accent3" xfId="41" builtinId="37" customBuiltin="1"/>
    <cellStyle name="Accent3 2" xfId="42"/>
    <cellStyle name="Accent3 3" xfId="147"/>
    <cellStyle name="Accent4" xfId="43" builtinId="41" customBuiltin="1"/>
    <cellStyle name="Accent4 2" xfId="44"/>
    <cellStyle name="Accent4 3" xfId="149"/>
    <cellStyle name="Accent5" xfId="45" builtinId="45" customBuiltin="1"/>
    <cellStyle name="Accent5 2" xfId="46"/>
    <cellStyle name="Accent5 3" xfId="150"/>
    <cellStyle name="Accent6" xfId="47" builtinId="49" customBuiltin="1"/>
    <cellStyle name="Accent6 2" xfId="48"/>
    <cellStyle name="Accent6 3" xfId="151"/>
    <cellStyle name="Bad" xfId="49" builtinId="27" customBuiltin="1"/>
    <cellStyle name="Bad 2" xfId="50"/>
    <cellStyle name="Bad 3" xfId="152"/>
    <cellStyle name="Calculation" xfId="51" builtinId="22" customBuiltin="1"/>
    <cellStyle name="Calculation 2" xfId="52"/>
    <cellStyle name="Calculation 3" xfId="153"/>
    <cellStyle name="Check Cell" xfId="53" builtinId="23" customBuiltin="1"/>
    <cellStyle name="Check Cell 2" xfId="54"/>
    <cellStyle name="Check Cell 3" xfId="154"/>
    <cellStyle name="Comma" xfId="55" builtinId="3"/>
    <cellStyle name="Comma 10" xfId="155"/>
    <cellStyle name="Comma 11" xfId="56"/>
    <cellStyle name="Comma 11 2" xfId="156"/>
    <cellStyle name="Comma 15" xfId="57"/>
    <cellStyle name="Comma 19" xfId="112"/>
    <cellStyle name="Comma 2" xfId="58"/>
    <cellStyle name="Comma 2 2" xfId="59"/>
    <cellStyle name="Comma 2 2 2" xfId="60"/>
    <cellStyle name="Comma 2 2 2 2" xfId="159"/>
    <cellStyle name="Comma 2 2 2 3" xfId="61"/>
    <cellStyle name="Comma 2 2 3" xfId="160"/>
    <cellStyle name="Comma 2 2 4" xfId="158"/>
    <cellStyle name="Comma 2 3" xfId="62"/>
    <cellStyle name="Comma 2 3 2" xfId="148"/>
    <cellStyle name="Comma 2 4" xfId="161"/>
    <cellStyle name="Comma 2 5" xfId="63"/>
    <cellStyle name="Comma 2 6" xfId="157"/>
    <cellStyle name="Comma 3" xfId="64"/>
    <cellStyle name="Comma 3 2" xfId="163"/>
    <cellStyle name="Comma 3 2 2" xfId="164"/>
    <cellStyle name="Comma 3 3" xfId="165"/>
    <cellStyle name="Comma 3 4" xfId="166"/>
    <cellStyle name="Comma 3 5" xfId="162"/>
    <cellStyle name="Comma 4" xfId="167"/>
    <cellStyle name="Comma 4 2" xfId="65"/>
    <cellStyle name="Comma 4 2 2" xfId="169"/>
    <cellStyle name="Comma 4 2 3" xfId="168"/>
    <cellStyle name="Comma 4 3" xfId="170"/>
    <cellStyle name="Comma 4 4" xfId="171"/>
    <cellStyle name="Comma 5" xfId="66"/>
    <cellStyle name="Comma 5 2" xfId="173"/>
    <cellStyle name="Comma 5 3" xfId="174"/>
    <cellStyle name="Comma 5 4" xfId="172"/>
    <cellStyle name="Comma 6" xfId="175"/>
    <cellStyle name="Comma 6 2" xfId="176"/>
    <cellStyle name="Comma 7" xfId="177"/>
    <cellStyle name="Comma 8" xfId="178"/>
    <cellStyle name="Comma 9" xfId="179"/>
    <cellStyle name="Explanatory Text" xfId="67" builtinId="53" customBuiltin="1"/>
    <cellStyle name="Explanatory Text 2" xfId="68"/>
    <cellStyle name="Explanatory Text 3" xfId="180"/>
    <cellStyle name="Good" xfId="69" builtinId="26" customBuiltin="1"/>
    <cellStyle name="Good 2" xfId="70"/>
    <cellStyle name="Good 3" xfId="181"/>
    <cellStyle name="Heading 1" xfId="71" builtinId="16" customBuiltin="1"/>
    <cellStyle name="Heading 1 2" xfId="72"/>
    <cellStyle name="Heading 1 3" xfId="182"/>
    <cellStyle name="Heading 2" xfId="73" builtinId="17" customBuiltin="1"/>
    <cellStyle name="Heading 2 2" xfId="74"/>
    <cellStyle name="Heading 2 3" xfId="183"/>
    <cellStyle name="Heading 3" xfId="75" builtinId="18" customBuiltin="1"/>
    <cellStyle name="Heading 3 2" xfId="76"/>
    <cellStyle name="Heading 3 3" xfId="184"/>
    <cellStyle name="Heading 4" xfId="77" builtinId="19" customBuiltin="1"/>
    <cellStyle name="Heading 4 2" xfId="78"/>
    <cellStyle name="Heading 4 3" xfId="185"/>
    <cellStyle name="Input" xfId="79" builtinId="20" customBuiltin="1"/>
    <cellStyle name="Input 2" xfId="80"/>
    <cellStyle name="Input 3" xfId="186"/>
    <cellStyle name="Linked Cell" xfId="81" builtinId="24" customBuiltin="1"/>
    <cellStyle name="Linked Cell 2" xfId="82"/>
    <cellStyle name="Linked Cell 3" xfId="187"/>
    <cellStyle name="Neutral" xfId="83" builtinId="28" customBuiltin="1"/>
    <cellStyle name="Neutral 2" xfId="84"/>
    <cellStyle name="Neutral 2 2" xfId="188"/>
    <cellStyle name="Neutral 2 3" xfId="260"/>
    <cellStyle name="Neutral 3" xfId="189"/>
    <cellStyle name="Neutral 3 2" xfId="258"/>
    <cellStyle name="Neutral 4" xfId="215"/>
    <cellStyle name="Normal" xfId="0" builtinId="0" customBuiltin="1"/>
    <cellStyle name="Normal 10 2" xfId="190"/>
    <cellStyle name="Normal 10 3" xfId="111"/>
    <cellStyle name="Normal 11 2" xfId="85"/>
    <cellStyle name="Normal 11 2 2" xfId="217"/>
    <cellStyle name="Normal 11 3" xfId="259"/>
    <cellStyle name="Normal 12" xfId="191"/>
    <cellStyle name="Normal 15 2 2" xfId="192"/>
    <cellStyle name="Normal 17" xfId="106"/>
    <cellStyle name="Normal 18" xfId="263"/>
    <cellStyle name="Normal 2" xfId="86"/>
    <cellStyle name="Normal 2 2" xfId="87"/>
    <cellStyle name="Normal 2 2 2" xfId="193"/>
    <cellStyle name="Normal 2 2 3" xfId="88"/>
    <cellStyle name="Normal 2 3" xfId="194"/>
    <cellStyle name="Normal 2 3 2" xfId="216"/>
    <cellStyle name="Normal 2 4" xfId="110"/>
    <cellStyle name="Normal 2 6" xfId="262"/>
    <cellStyle name="Normal 3" xfId="89"/>
    <cellStyle name="Normal 3 2" xfId="195"/>
    <cellStyle name="Normal 4" xfId="196"/>
    <cellStyle name="Normal 4 2" xfId="197"/>
    <cellStyle name="Normal 4 3" xfId="198"/>
    <cellStyle name="Normal 5" xfId="90"/>
    <cellStyle name="Normal 5 2" xfId="91"/>
    <cellStyle name="Normal 5 2 2" xfId="92"/>
    <cellStyle name="Normal 5 2 3" xfId="200"/>
    <cellStyle name="Normal 5 2 9" xfId="201"/>
    <cellStyle name="Normal 5 3" xfId="199"/>
    <cellStyle name="Normal 5 3 7" xfId="108"/>
    <cellStyle name="Normal 6" xfId="202"/>
    <cellStyle name="Normal 6 2" xfId="203"/>
    <cellStyle name="Normal 7" xfId="204"/>
    <cellStyle name="Normal 7 2" xfId="93"/>
    <cellStyle name="Normal 8" xfId="94"/>
    <cellStyle name="Normal 9" xfId="114"/>
    <cellStyle name="Note" xfId="95" builtinId="10" customBuiltin="1"/>
    <cellStyle name="Note 2" xfId="96"/>
    <cellStyle name="Note 2 2" xfId="205"/>
    <cellStyle name="Note 2 3" xfId="239"/>
    <cellStyle name="Note 3" xfId="206"/>
    <cellStyle name="Note 4" xfId="218"/>
    <cellStyle name="Note 5" xfId="265"/>
    <cellStyle name="Output" xfId="97" builtinId="21" customBuiltin="1"/>
    <cellStyle name="Output 2" xfId="98"/>
    <cellStyle name="Output 3" xfId="207"/>
    <cellStyle name="Percent" xfId="261" builtinId="5"/>
    <cellStyle name="Percent 2" xfId="208"/>
    <cellStyle name="Percent 2 2" xfId="209"/>
    <cellStyle name="SN_241" xfId="99"/>
    <cellStyle name="SN_241 2" xfId="237"/>
    <cellStyle name="SN_b" xfId="109"/>
    <cellStyle name="SN_b 2" xfId="238"/>
    <cellStyle name="SN_it" xfId="264"/>
    <cellStyle name="SN10_bold" xfId="107"/>
    <cellStyle name="Style 1 2" xfId="210"/>
    <cellStyle name="Title" xfId="100" builtinId="15" customBuiltin="1"/>
    <cellStyle name="Title 2" xfId="101"/>
    <cellStyle name="Title 3" xfId="211"/>
    <cellStyle name="Total" xfId="102" builtinId="25" customBuiltin="1"/>
    <cellStyle name="Total 2" xfId="103"/>
    <cellStyle name="Total 3" xfId="212"/>
    <cellStyle name="Warning Text" xfId="104" builtinId="11" customBuiltin="1"/>
    <cellStyle name="Warning Text 2" xfId="105"/>
    <cellStyle name="Warning Text 3" xfId="213"/>
    <cellStyle name="Обычный 4" xfId="214"/>
    <cellStyle name="Финансовый 16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B26" sqref="B26"/>
    </sheetView>
  </sheetViews>
  <sheetFormatPr defaultRowHeight="16.5"/>
  <cols>
    <col min="1" max="1" width="56.28515625" style="170" customWidth="1"/>
    <col min="2" max="2" width="52.7109375" style="170" customWidth="1"/>
    <col min="3" max="16384" width="9.140625" style="170"/>
  </cols>
  <sheetData>
    <row r="1" spans="1:7" s="1" customFormat="1">
      <c r="A1" s="164"/>
      <c r="B1" s="2" t="s">
        <v>330</v>
      </c>
    </row>
    <row r="2" spans="1:7" s="1" customFormat="1">
      <c r="A2" s="164"/>
      <c r="B2" s="2" t="s">
        <v>329</v>
      </c>
    </row>
    <row r="3" spans="1:7" s="1" customFormat="1">
      <c r="A3" s="164"/>
      <c r="B3" s="2"/>
    </row>
    <row r="4" spans="1:7" s="1" customFormat="1">
      <c r="A4" s="164"/>
      <c r="B4" s="190" t="s">
        <v>42</v>
      </c>
    </row>
    <row r="5" spans="1:7" s="1" customFormat="1">
      <c r="A5" s="164"/>
      <c r="B5" s="190" t="s">
        <v>4</v>
      </c>
    </row>
    <row r="6" spans="1:7" s="1" customFormat="1">
      <c r="A6" s="164"/>
      <c r="B6" s="164"/>
      <c r="G6" s="165"/>
    </row>
    <row r="7" spans="1:7" s="1" customFormat="1" ht="57.75" customHeight="1">
      <c r="A7" s="201" t="s">
        <v>308</v>
      </c>
      <c r="B7" s="201"/>
    </row>
    <row r="8" spans="1:7" s="1" customFormat="1">
      <c r="A8" s="164"/>
    </row>
    <row r="9" spans="1:7" s="1" customFormat="1">
      <c r="A9" s="166"/>
      <c r="B9" s="167" t="s">
        <v>13</v>
      </c>
      <c r="C9" s="166"/>
      <c r="D9" s="166"/>
      <c r="E9" s="166"/>
    </row>
    <row r="10" spans="1:7" ht="33">
      <c r="A10" s="168"/>
      <c r="B10" s="169" t="s">
        <v>289</v>
      </c>
    </row>
    <row r="11" spans="1:7">
      <c r="A11" s="171" t="s">
        <v>290</v>
      </c>
      <c r="B11" s="172">
        <f>+'2'!B13</f>
        <v>7651</v>
      </c>
    </row>
    <row r="12" spans="1:7">
      <c r="A12" s="171" t="s">
        <v>291</v>
      </c>
      <c r="B12" s="172">
        <f>+'3'!G12</f>
        <v>7651</v>
      </c>
    </row>
    <row r="13" spans="1:7">
      <c r="A13" s="171" t="s">
        <v>292</v>
      </c>
      <c r="B13" s="172">
        <f>+B11-B12</f>
        <v>0</v>
      </c>
    </row>
  </sheetData>
  <mergeCells count="1"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B1" sqref="B1:B2"/>
    </sheetView>
  </sheetViews>
  <sheetFormatPr defaultRowHeight="12.75"/>
  <cols>
    <col min="1" max="1" width="62.5703125" customWidth="1"/>
    <col min="2" max="2" width="59" customWidth="1"/>
  </cols>
  <sheetData>
    <row r="1" spans="1:7" s="1" customFormat="1" ht="16.5">
      <c r="A1" s="164"/>
      <c r="B1" s="2" t="s">
        <v>330</v>
      </c>
    </row>
    <row r="2" spans="1:7" s="1" customFormat="1" ht="16.5">
      <c r="A2" s="164"/>
      <c r="B2" s="2" t="s">
        <v>331</v>
      </c>
    </row>
    <row r="3" spans="1:7" s="1" customFormat="1" ht="16.5">
      <c r="A3" s="164"/>
      <c r="B3" s="2"/>
    </row>
    <row r="4" spans="1:7" s="1" customFormat="1" ht="16.5">
      <c r="A4" s="164"/>
      <c r="B4" s="190" t="s">
        <v>42</v>
      </c>
    </row>
    <row r="5" spans="1:7" s="1" customFormat="1" ht="16.5">
      <c r="A5" s="164"/>
      <c r="B5" s="190" t="s">
        <v>4</v>
      </c>
    </row>
    <row r="6" spans="1:7" s="1" customFormat="1" ht="16.5">
      <c r="A6" s="164"/>
      <c r="B6" s="164"/>
      <c r="G6" s="165"/>
    </row>
    <row r="7" spans="1:7" s="1" customFormat="1" ht="58.5" customHeight="1">
      <c r="A7" s="201" t="s">
        <v>309</v>
      </c>
      <c r="B7" s="201"/>
    </row>
    <row r="8" spans="1:7" s="1" customFormat="1" ht="16.5">
      <c r="A8" s="164"/>
    </row>
    <row r="9" spans="1:7" s="1" customFormat="1" ht="16.5">
      <c r="A9" s="166"/>
      <c r="B9" s="173" t="s">
        <v>13</v>
      </c>
      <c r="C9" s="166"/>
      <c r="D9" s="166"/>
      <c r="E9" s="166"/>
    </row>
    <row r="10" spans="1:7" ht="33">
      <c r="A10" s="174" t="s">
        <v>293</v>
      </c>
      <c r="B10" s="169" t="s">
        <v>289</v>
      </c>
    </row>
    <row r="11" spans="1:7" ht="16.5">
      <c r="A11" s="171" t="s">
        <v>2</v>
      </c>
      <c r="B11" s="175">
        <f>+B13</f>
        <v>7651</v>
      </c>
    </row>
    <row r="12" spans="1:7" ht="16.5">
      <c r="A12" s="171" t="s">
        <v>31</v>
      </c>
      <c r="B12" s="175"/>
    </row>
    <row r="13" spans="1:7" ht="16.5">
      <c r="A13" s="168" t="s">
        <v>294</v>
      </c>
      <c r="B13" s="175">
        <f>+'6'!E12</f>
        <v>7651</v>
      </c>
    </row>
    <row r="14" spans="1:7" ht="17.25">
      <c r="A14" s="176"/>
    </row>
  </sheetData>
  <mergeCells count="1">
    <mergeCell ref="A7:B7"/>
  </mergeCells>
  <pageMargins left="0.7" right="0.7" top="0.75" bottom="0.75" header="0.3" footer="0.3"/>
  <pageSetup paperSize="9" scale="8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G1" sqref="G1:G2"/>
    </sheetView>
  </sheetViews>
  <sheetFormatPr defaultColWidth="25.7109375" defaultRowHeight="16.5"/>
  <cols>
    <col min="1" max="1" width="15.28515625" style="162" customWidth="1"/>
    <col min="2" max="2" width="17" style="162" customWidth="1"/>
    <col min="3" max="3" width="18.85546875" style="162" customWidth="1"/>
    <col min="4" max="4" width="37.7109375" style="147" customWidth="1"/>
    <col min="5" max="5" width="38.42578125" style="147" customWidth="1"/>
    <col min="6" max="6" width="39.85546875" style="147" customWidth="1"/>
    <col min="7" max="7" width="54.140625" style="162" customWidth="1"/>
    <col min="8" max="16384" width="25.7109375" style="147"/>
  </cols>
  <sheetData>
    <row r="1" spans="1:7">
      <c r="A1" s="146"/>
      <c r="B1" s="146"/>
      <c r="C1" s="147"/>
      <c r="G1" s="2" t="s">
        <v>330</v>
      </c>
    </row>
    <row r="2" spans="1:7">
      <c r="A2" s="200"/>
      <c r="B2" s="200"/>
      <c r="C2" s="147"/>
      <c r="G2" s="2" t="s">
        <v>332</v>
      </c>
    </row>
    <row r="3" spans="1:7">
      <c r="A3" s="200"/>
      <c r="B3" s="200"/>
      <c r="C3" s="147"/>
      <c r="G3" s="148"/>
    </row>
    <row r="4" spans="1:7">
      <c r="A4" s="146"/>
      <c r="B4" s="146"/>
      <c r="C4" s="147"/>
      <c r="G4" s="149" t="s">
        <v>42</v>
      </c>
    </row>
    <row r="5" spans="1:7">
      <c r="A5" s="146"/>
      <c r="B5" s="146"/>
      <c r="C5" s="147"/>
      <c r="G5" s="149" t="s">
        <v>4</v>
      </c>
    </row>
    <row r="6" spans="1:7">
      <c r="A6" s="146"/>
      <c r="B6" s="146"/>
      <c r="C6" s="147"/>
      <c r="G6" s="149"/>
    </row>
    <row r="7" spans="1:7" ht="48.75" customHeight="1">
      <c r="A7" s="202" t="s">
        <v>328</v>
      </c>
      <c r="B7" s="202"/>
      <c r="C7" s="202"/>
      <c r="D7" s="202"/>
      <c r="E7" s="202"/>
      <c r="F7" s="202"/>
      <c r="G7" s="202"/>
    </row>
    <row r="8" spans="1:7">
      <c r="A8" s="202"/>
      <c r="B8" s="202"/>
      <c r="C8" s="202"/>
      <c r="D8" s="202"/>
      <c r="E8" s="202"/>
      <c r="F8" s="202"/>
      <c r="G8" s="202"/>
    </row>
    <row r="9" spans="1:7">
      <c r="A9" s="150"/>
      <c r="B9" s="150"/>
      <c r="C9" s="150"/>
      <c r="D9" s="150"/>
      <c r="E9" s="150"/>
      <c r="F9" s="204" t="s">
        <v>13</v>
      </c>
      <c r="G9" s="204"/>
    </row>
    <row r="10" spans="1:7">
      <c r="A10" s="205" t="s">
        <v>14</v>
      </c>
      <c r="B10" s="205" t="s">
        <v>15</v>
      </c>
      <c r="C10" s="205"/>
      <c r="D10" s="205" t="s">
        <v>16</v>
      </c>
      <c r="E10" s="205" t="s">
        <v>30</v>
      </c>
      <c r="F10" s="205" t="s">
        <v>17</v>
      </c>
      <c r="G10" s="205" t="s">
        <v>3</v>
      </c>
    </row>
    <row r="11" spans="1:7" ht="45.75" customHeight="1">
      <c r="A11" s="205"/>
      <c r="B11" s="8" t="s">
        <v>18</v>
      </c>
      <c r="C11" s="8" t="s">
        <v>19</v>
      </c>
      <c r="D11" s="205"/>
      <c r="E11" s="205"/>
      <c r="F11" s="205"/>
      <c r="G11" s="205"/>
    </row>
    <row r="12" spans="1:7">
      <c r="A12" s="203" t="s">
        <v>2</v>
      </c>
      <c r="B12" s="203"/>
      <c r="C12" s="151"/>
      <c r="D12" s="152"/>
      <c r="E12" s="152"/>
      <c r="F12" s="152"/>
      <c r="G12" s="153">
        <f>+G13+G16+G20+G32+G41</f>
        <v>7651</v>
      </c>
    </row>
    <row r="13" spans="1:7">
      <c r="A13" s="154" t="s">
        <v>43</v>
      </c>
      <c r="B13" s="154"/>
      <c r="C13" s="154"/>
      <c r="D13" s="154"/>
      <c r="E13" s="154"/>
      <c r="F13" s="154"/>
      <c r="G13" s="153">
        <f>+G14</f>
        <v>50000</v>
      </c>
    </row>
    <row r="14" spans="1:7" ht="115.5">
      <c r="A14" s="151"/>
      <c r="B14" s="8">
        <v>1023</v>
      </c>
      <c r="C14" s="151"/>
      <c r="D14" s="155" t="s">
        <v>45</v>
      </c>
      <c r="E14" s="155" t="s">
        <v>46</v>
      </c>
      <c r="F14" s="155" t="s">
        <v>47</v>
      </c>
      <c r="G14" s="153">
        <f>+G15</f>
        <v>50000</v>
      </c>
    </row>
    <row r="15" spans="1:7" ht="115.5">
      <c r="A15" s="151"/>
      <c r="B15" s="151"/>
      <c r="C15" s="133" t="s">
        <v>44</v>
      </c>
      <c r="D15" s="151" t="s">
        <v>48</v>
      </c>
      <c r="E15" s="151" t="s">
        <v>49</v>
      </c>
      <c r="F15" s="151" t="s">
        <v>20</v>
      </c>
      <c r="G15" s="156">
        <v>50000</v>
      </c>
    </row>
    <row r="16" spans="1:7">
      <c r="A16" s="157" t="s">
        <v>22</v>
      </c>
      <c r="B16" s="157"/>
      <c r="C16" s="157"/>
      <c r="D16" s="157"/>
      <c r="E16" s="157"/>
      <c r="F16" s="157"/>
      <c r="G16" s="156">
        <f>+G17</f>
        <v>0</v>
      </c>
    </row>
    <row r="17" spans="1:7" ht="49.5">
      <c r="A17" s="151"/>
      <c r="B17" s="8">
        <v>1165</v>
      </c>
      <c r="C17" s="151"/>
      <c r="D17" s="155" t="s">
        <v>50</v>
      </c>
      <c r="E17" s="155" t="s">
        <v>54</v>
      </c>
      <c r="F17" s="155" t="s">
        <v>55</v>
      </c>
      <c r="G17" s="153">
        <f>+G18+G19</f>
        <v>0</v>
      </c>
    </row>
    <row r="18" spans="1:7" ht="148.5">
      <c r="A18" s="151"/>
      <c r="B18" s="151"/>
      <c r="C18" s="133" t="s">
        <v>56</v>
      </c>
      <c r="D18" s="151" t="s">
        <v>57</v>
      </c>
      <c r="E18" s="151" t="s">
        <v>58</v>
      </c>
      <c r="F18" s="151" t="s">
        <v>21</v>
      </c>
      <c r="G18" s="156">
        <v>-30000</v>
      </c>
    </row>
    <row r="19" spans="1:7" ht="115.5">
      <c r="A19" s="151"/>
      <c r="B19" s="151"/>
      <c r="C19" s="133" t="s">
        <v>51</v>
      </c>
      <c r="D19" s="151" t="s">
        <v>52</v>
      </c>
      <c r="E19" s="151" t="s">
        <v>53</v>
      </c>
      <c r="F19" s="151" t="s">
        <v>21</v>
      </c>
      <c r="G19" s="156">
        <v>30000</v>
      </c>
    </row>
    <row r="20" spans="1:7">
      <c r="A20" s="157" t="s">
        <v>59</v>
      </c>
      <c r="B20" s="157"/>
      <c r="C20" s="157"/>
      <c r="D20" s="157"/>
      <c r="E20" s="157"/>
      <c r="F20" s="157"/>
      <c r="G20" s="156">
        <f>+G21+G24+G26+G28+G30</f>
        <v>0</v>
      </c>
    </row>
    <row r="21" spans="1:7" ht="155.25">
      <c r="A21" s="151"/>
      <c r="B21" s="8">
        <v>1045</v>
      </c>
      <c r="C21" s="133"/>
      <c r="D21" s="13" t="s">
        <v>60</v>
      </c>
      <c r="E21" s="13" t="s">
        <v>61</v>
      </c>
      <c r="F21" s="13" t="s">
        <v>62</v>
      </c>
      <c r="G21" s="158">
        <f>G22+G23</f>
        <v>-42629.599999999991</v>
      </c>
    </row>
    <row r="22" spans="1:7" ht="138">
      <c r="A22" s="151"/>
      <c r="B22" s="151"/>
      <c r="C22" s="14" t="s">
        <v>63</v>
      </c>
      <c r="D22" s="14" t="s">
        <v>64</v>
      </c>
      <c r="E22" s="14" t="s">
        <v>65</v>
      </c>
      <c r="F22" s="14" t="s">
        <v>66</v>
      </c>
      <c r="G22" s="156">
        <v>-110674.7</v>
      </c>
    </row>
    <row r="23" spans="1:7" ht="86.25">
      <c r="A23" s="151"/>
      <c r="B23" s="151"/>
      <c r="C23" s="14" t="s">
        <v>69</v>
      </c>
      <c r="D23" s="14" t="s">
        <v>67</v>
      </c>
      <c r="E23" s="14" t="s">
        <v>68</v>
      </c>
      <c r="F23" s="14" t="s">
        <v>66</v>
      </c>
      <c r="G23" s="156">
        <v>68045.100000000006</v>
      </c>
    </row>
    <row r="24" spans="1:7" ht="155.25">
      <c r="A24" s="151"/>
      <c r="B24" s="8">
        <v>1183</v>
      </c>
      <c r="C24" s="13"/>
      <c r="D24" s="13" t="s">
        <v>70</v>
      </c>
      <c r="E24" s="13" t="s">
        <v>71</v>
      </c>
      <c r="F24" s="13" t="s">
        <v>72</v>
      </c>
      <c r="G24" s="158">
        <f>G25</f>
        <v>5046.1000000000004</v>
      </c>
    </row>
    <row r="25" spans="1:7" ht="103.5">
      <c r="A25" s="151"/>
      <c r="B25" s="151"/>
      <c r="C25" s="14" t="s">
        <v>73</v>
      </c>
      <c r="D25" s="14" t="s">
        <v>74</v>
      </c>
      <c r="E25" s="14" t="s">
        <v>75</v>
      </c>
      <c r="F25" s="14" t="s">
        <v>66</v>
      </c>
      <c r="G25" s="156">
        <v>5046.1000000000004</v>
      </c>
    </row>
    <row r="26" spans="1:7" ht="172.5">
      <c r="A26" s="151"/>
      <c r="B26" s="15">
        <v>1192</v>
      </c>
      <c r="C26" s="13"/>
      <c r="D26" s="13" t="s">
        <v>76</v>
      </c>
      <c r="E26" s="13" t="s">
        <v>77</v>
      </c>
      <c r="F26" s="13" t="s">
        <v>78</v>
      </c>
      <c r="G26" s="158">
        <f>G27</f>
        <v>600000</v>
      </c>
    </row>
    <row r="27" spans="1:7" ht="155.25">
      <c r="A27" s="151"/>
      <c r="B27" s="16"/>
      <c r="C27" s="14" t="s">
        <v>79</v>
      </c>
      <c r="D27" s="14" t="s">
        <v>80</v>
      </c>
      <c r="E27" s="14" t="s">
        <v>81</v>
      </c>
      <c r="F27" s="14" t="s">
        <v>66</v>
      </c>
      <c r="G27" s="156">
        <v>600000</v>
      </c>
    </row>
    <row r="28" spans="1:7" ht="69">
      <c r="A28" s="151"/>
      <c r="B28" s="15">
        <v>1196</v>
      </c>
      <c r="C28" s="13"/>
      <c r="D28" s="13" t="s">
        <v>82</v>
      </c>
      <c r="E28" s="13" t="s">
        <v>83</v>
      </c>
      <c r="F28" s="13" t="s">
        <v>84</v>
      </c>
      <c r="G28" s="158">
        <f>G29</f>
        <v>37583.5</v>
      </c>
    </row>
    <row r="29" spans="1:7" ht="86.25">
      <c r="A29" s="151"/>
      <c r="B29" s="16"/>
      <c r="C29" s="14" t="s">
        <v>85</v>
      </c>
      <c r="D29" s="14" t="s">
        <v>86</v>
      </c>
      <c r="E29" s="14" t="s">
        <v>87</v>
      </c>
      <c r="F29" s="14" t="s">
        <v>21</v>
      </c>
      <c r="G29" s="156">
        <v>37583.5</v>
      </c>
    </row>
    <row r="30" spans="1:7" ht="120.75">
      <c r="A30" s="151"/>
      <c r="B30" s="15" t="s">
        <v>88</v>
      </c>
      <c r="C30" s="13"/>
      <c r="D30" s="13" t="s">
        <v>89</v>
      </c>
      <c r="E30" s="13" t="s">
        <v>90</v>
      </c>
      <c r="F30" s="13" t="s">
        <v>91</v>
      </c>
      <c r="G30" s="158">
        <f>G31</f>
        <v>-600000</v>
      </c>
    </row>
    <row r="31" spans="1:7" ht="103.5">
      <c r="A31" s="151"/>
      <c r="B31" s="16"/>
      <c r="C31" s="14" t="s">
        <v>92</v>
      </c>
      <c r="D31" s="159" t="s">
        <v>93</v>
      </c>
      <c r="E31" s="159" t="s">
        <v>94</v>
      </c>
      <c r="F31" s="159" t="s">
        <v>66</v>
      </c>
      <c r="G31" s="156">
        <v>-600000</v>
      </c>
    </row>
    <row r="32" spans="1:7" ht="15.75" customHeight="1">
      <c r="A32" s="157" t="s">
        <v>41</v>
      </c>
      <c r="B32" s="133"/>
      <c r="C32" s="133"/>
      <c r="D32" s="151"/>
      <c r="E32" s="151"/>
      <c r="F32" s="151"/>
      <c r="G32" s="160">
        <f>+G37+G39+G33</f>
        <v>-9205935.5</v>
      </c>
    </row>
    <row r="33" spans="1:7" ht="115.5">
      <c r="A33" s="151"/>
      <c r="B33" s="197" t="s">
        <v>310</v>
      </c>
      <c r="C33" s="151"/>
      <c r="D33" s="196" t="s">
        <v>311</v>
      </c>
      <c r="E33" s="196" t="s">
        <v>312</v>
      </c>
      <c r="F33" s="196" t="s">
        <v>313</v>
      </c>
      <c r="G33" s="160">
        <f>+G34+G35+G36</f>
        <v>-9223763.5</v>
      </c>
    </row>
    <row r="34" spans="1:7" ht="165">
      <c r="A34" s="151"/>
      <c r="B34" s="151"/>
      <c r="C34" s="198" t="s">
        <v>314</v>
      </c>
      <c r="D34" s="151" t="s">
        <v>315</v>
      </c>
      <c r="E34" s="151" t="s">
        <v>316</v>
      </c>
      <c r="F34" s="151" t="s">
        <v>20</v>
      </c>
      <c r="G34" s="161">
        <v>-206.2</v>
      </c>
    </row>
    <row r="35" spans="1:7" ht="132">
      <c r="A35" s="151"/>
      <c r="B35" s="151"/>
      <c r="C35" s="198" t="s">
        <v>317</v>
      </c>
      <c r="D35" s="151" t="s">
        <v>318</v>
      </c>
      <c r="E35" s="151" t="s">
        <v>319</v>
      </c>
      <c r="F35" s="151" t="s">
        <v>20</v>
      </c>
      <c r="G35" s="161">
        <v>-1499.9</v>
      </c>
    </row>
    <row r="36" spans="1:7" ht="33">
      <c r="A36" s="151"/>
      <c r="B36" s="151"/>
      <c r="C36" s="198" t="s">
        <v>320</v>
      </c>
      <c r="D36" s="151" t="s">
        <v>321</v>
      </c>
      <c r="E36" s="151" t="s">
        <v>322</v>
      </c>
      <c r="F36" s="151" t="s">
        <v>323</v>
      </c>
      <c r="G36" s="161">
        <v>-9222057.4000000004</v>
      </c>
    </row>
    <row r="37" spans="1:7" ht="99">
      <c r="A37" s="151"/>
      <c r="B37" s="8" t="s">
        <v>34</v>
      </c>
      <c r="C37" s="151"/>
      <c r="D37" s="155" t="s">
        <v>35</v>
      </c>
      <c r="E37" s="155" t="s">
        <v>36</v>
      </c>
      <c r="F37" s="155" t="s">
        <v>37</v>
      </c>
      <c r="G37" s="160">
        <f>+G38</f>
        <v>10000</v>
      </c>
    </row>
    <row r="38" spans="1:7" ht="99">
      <c r="A38" s="151"/>
      <c r="B38" s="151"/>
      <c r="C38" s="133" t="s">
        <v>38</v>
      </c>
      <c r="D38" s="151" t="s">
        <v>39</v>
      </c>
      <c r="E38" s="151" t="s">
        <v>40</v>
      </c>
      <c r="F38" s="151" t="s">
        <v>20</v>
      </c>
      <c r="G38" s="161">
        <v>10000</v>
      </c>
    </row>
    <row r="39" spans="1:7" ht="115.5">
      <c r="A39" s="191"/>
      <c r="B39" s="192" t="s">
        <v>302</v>
      </c>
      <c r="C39" s="191"/>
      <c r="D39" s="195" t="s">
        <v>301</v>
      </c>
      <c r="E39" s="195" t="s">
        <v>303</v>
      </c>
      <c r="F39" s="195" t="s">
        <v>304</v>
      </c>
      <c r="G39" s="189">
        <f>+G40</f>
        <v>7828</v>
      </c>
    </row>
    <row r="40" spans="1:7" ht="66">
      <c r="A40" s="191"/>
      <c r="B40" s="191"/>
      <c r="C40" s="193" t="s">
        <v>305</v>
      </c>
      <c r="D40" s="194" t="s">
        <v>306</v>
      </c>
      <c r="E40" s="194" t="s">
        <v>307</v>
      </c>
      <c r="F40" s="194" t="s">
        <v>20</v>
      </c>
      <c r="G40" s="161">
        <f>+'6'!D12</f>
        <v>7828</v>
      </c>
    </row>
    <row r="41" spans="1:7" ht="15.75" customHeight="1">
      <c r="A41" s="203" t="s">
        <v>23</v>
      </c>
      <c r="B41" s="203"/>
      <c r="C41" s="203"/>
      <c r="D41" s="203"/>
      <c r="E41" s="203"/>
      <c r="F41" s="203"/>
      <c r="G41" s="160">
        <f>+G42</f>
        <v>9163586.5</v>
      </c>
    </row>
    <row r="42" spans="1:7" ht="82.5">
      <c r="A42" s="151"/>
      <c r="B42" s="8" t="s">
        <v>24</v>
      </c>
      <c r="C42" s="151"/>
      <c r="D42" s="155" t="s">
        <v>25</v>
      </c>
      <c r="E42" s="155" t="s">
        <v>26</v>
      </c>
      <c r="F42" s="155" t="s">
        <v>27</v>
      </c>
      <c r="G42" s="160">
        <f>+G43+G45+G44</f>
        <v>9163586.5</v>
      </c>
    </row>
    <row r="43" spans="1:7" ht="115.5">
      <c r="A43" s="151"/>
      <c r="B43" s="151"/>
      <c r="C43" s="133" t="s">
        <v>28</v>
      </c>
      <c r="D43" s="151" t="s">
        <v>25</v>
      </c>
      <c r="E43" s="151" t="s">
        <v>29</v>
      </c>
      <c r="F43" s="151" t="s">
        <v>20</v>
      </c>
      <c r="G43" s="161">
        <v>-760177</v>
      </c>
    </row>
    <row r="44" spans="1:7" ht="49.5">
      <c r="A44" s="151"/>
      <c r="B44" s="151"/>
      <c r="C44" s="199" t="s">
        <v>324</v>
      </c>
      <c r="D44" s="194" t="s">
        <v>325</v>
      </c>
      <c r="E44" s="194" t="s">
        <v>326</v>
      </c>
      <c r="F44" s="194" t="s">
        <v>20</v>
      </c>
      <c r="G44" s="161">
        <v>9223763.5</v>
      </c>
    </row>
    <row r="45" spans="1:7" ht="66">
      <c r="A45" s="151"/>
      <c r="B45" s="151"/>
      <c r="C45" s="133" t="s">
        <v>266</v>
      </c>
      <c r="D45" s="151" t="s">
        <v>267</v>
      </c>
      <c r="E45" s="151" t="s">
        <v>268</v>
      </c>
      <c r="F45" s="151" t="s">
        <v>20</v>
      </c>
      <c r="G45" s="161">
        <v>700000</v>
      </c>
    </row>
    <row r="49" spans="7:7">
      <c r="G49" s="163"/>
    </row>
  </sheetData>
  <customSheetViews>
    <customSheetView guid="{9860B577-824D-4711-8F5D-BB6D2BD7ABE4}" scale="80" topLeftCell="A31">
      <selection activeCell="G32" sqref="G32"/>
      <pageMargins left="0.7" right="0.7" top="0.75" bottom="0.75" header="0.3" footer="0.3"/>
    </customSheetView>
    <customSheetView guid="{9A6482D4-9076-4DAC-9CF3-83F0132D4C69}" scale="80" topLeftCell="A22">
      <selection activeCell="E25" sqref="E25"/>
      <pageMargins left="0.7" right="0.7" top="0.75" bottom="0.75" header="0.3" footer="0.3"/>
    </customSheetView>
    <customSheetView guid="{2F786DE5-388F-4F79-98D8-B9D5611A3D1D}" scale="80" topLeftCell="A13">
      <selection activeCell="G19" sqref="G19"/>
      <pageMargins left="0.7" right="0.7" top="0.75" bottom="0.75" header="0.3" footer="0.3"/>
    </customSheetView>
    <customSheetView guid="{1C7992F6-D161-4A62-8115-0345E0849384}" scale="80">
      <selection activeCell="A5" sqref="A5:G5"/>
      <pageMargins left="0.7" right="0.7" top="0.75" bottom="0.75" header="0.3" footer="0.3"/>
    </customSheetView>
    <customSheetView guid="{5BDDFBD1-616F-4BD6-B87A-FA4FBCD284DB}" scale="80" topLeftCell="A4">
      <selection activeCell="E17" sqref="E17"/>
      <pageMargins left="0.7" right="0.7" top="0.75" bottom="0.75" header="0.3" footer="0.3"/>
    </customSheetView>
  </customSheetViews>
  <mergeCells count="11">
    <mergeCell ref="A7:G7"/>
    <mergeCell ref="A12:B12"/>
    <mergeCell ref="A41:F41"/>
    <mergeCell ref="A8:G8"/>
    <mergeCell ref="F9:G9"/>
    <mergeCell ref="A10:A11"/>
    <mergeCell ref="B10:C10"/>
    <mergeCell ref="D10:D11"/>
    <mergeCell ref="E10:E11"/>
    <mergeCell ref="F10:F11"/>
    <mergeCell ref="G10:G11"/>
  </mergeCells>
  <pageMargins left="0.7" right="0.7" top="0.75" bottom="0.75" header="0.3" footer="0.3"/>
  <pageSetup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zoomScaleNormal="100" workbookViewId="0">
      <selection activeCell="H1" sqref="H1:H2"/>
    </sheetView>
  </sheetViews>
  <sheetFormatPr defaultColWidth="8.85546875" defaultRowHeight="16.5"/>
  <cols>
    <col min="1" max="1" width="10" style="4" bestFit="1" customWidth="1"/>
    <col min="2" max="2" width="13.85546875" style="4" bestFit="1" customWidth="1"/>
    <col min="3" max="3" width="63.5703125" style="5" customWidth="1"/>
    <col min="4" max="4" width="20.28515625" style="5" customWidth="1"/>
    <col min="5" max="5" width="22.42578125" style="5" customWidth="1"/>
    <col min="6" max="6" width="23.5703125" style="5" customWidth="1"/>
    <col min="7" max="8" width="20.28515625" style="5" customWidth="1"/>
    <col min="9" max="9" width="8.85546875" style="5"/>
    <col min="10" max="10" width="11.28515625" style="5" customWidth="1"/>
    <col min="11" max="11" width="10.5703125" style="5" bestFit="1" customWidth="1"/>
    <col min="12" max="12" width="8.85546875" style="5"/>
    <col min="13" max="13" width="8.85546875" style="5" customWidth="1"/>
    <col min="14" max="16384" width="8.85546875" style="5"/>
  </cols>
  <sheetData>
    <row r="1" spans="1:11" ht="20.25" customHeight="1">
      <c r="D1" s="6"/>
      <c r="E1" s="6"/>
      <c r="F1" s="6"/>
      <c r="H1" s="2" t="s">
        <v>330</v>
      </c>
    </row>
    <row r="2" spans="1:11" ht="20.25" customHeight="1">
      <c r="D2" s="6"/>
      <c r="E2" s="6"/>
      <c r="F2" s="6"/>
      <c r="H2" s="2" t="s">
        <v>333</v>
      </c>
    </row>
    <row r="3" spans="1:11" ht="20.25" customHeight="1">
      <c r="D3" s="6"/>
      <c r="E3" s="6"/>
      <c r="F3" s="6"/>
      <c r="H3" s="2"/>
    </row>
    <row r="4" spans="1:11">
      <c r="F4" s="6"/>
      <c r="G4" s="3" t="s">
        <v>259</v>
      </c>
    </row>
    <row r="5" spans="1:11" ht="18" customHeight="1">
      <c r="F5" s="6"/>
      <c r="G5" s="3" t="s">
        <v>4</v>
      </c>
    </row>
    <row r="7" spans="1:11" ht="33.75" customHeight="1">
      <c r="A7" s="206" t="s">
        <v>95</v>
      </c>
      <c r="B7" s="206"/>
      <c r="C7" s="206"/>
      <c r="D7" s="206"/>
      <c r="E7" s="206"/>
      <c r="F7" s="206"/>
      <c r="G7" s="206"/>
      <c r="H7" s="206"/>
    </row>
    <row r="8" spans="1:11">
      <c r="H8" s="12" t="s">
        <v>0</v>
      </c>
    </row>
    <row r="9" spans="1:11" ht="98.25" customHeight="1">
      <c r="A9" s="207" t="s">
        <v>1</v>
      </c>
      <c r="B9" s="207"/>
      <c r="C9" s="7" t="s">
        <v>5</v>
      </c>
      <c r="D9" s="7" t="s">
        <v>6</v>
      </c>
      <c r="E9" s="7" t="s">
        <v>7</v>
      </c>
      <c r="F9" s="7" t="s">
        <v>262</v>
      </c>
      <c r="G9" s="7" t="s">
        <v>8</v>
      </c>
      <c r="H9" s="7" t="s">
        <v>9</v>
      </c>
    </row>
    <row r="10" spans="1:11" ht="33" customHeight="1">
      <c r="A10" s="7" t="s">
        <v>10</v>
      </c>
      <c r="B10" s="7" t="s">
        <v>11</v>
      </c>
      <c r="C10" s="8" t="s">
        <v>2</v>
      </c>
      <c r="D10" s="9">
        <f>D35+D12</f>
        <v>-599999.99999999977</v>
      </c>
      <c r="E10" s="9">
        <f>E35+E12</f>
        <v>744513.30000000016</v>
      </c>
      <c r="F10" s="9">
        <f>F35+F12</f>
        <v>-4185853.5</v>
      </c>
      <c r="G10" s="9">
        <f>G35+G12</f>
        <v>341340.2</v>
      </c>
      <c r="H10" s="9">
        <f>H35+H12</f>
        <v>2500000</v>
      </c>
    </row>
    <row r="11" spans="1:11">
      <c r="A11" s="10"/>
      <c r="B11" s="10"/>
      <c r="C11" s="8" t="s">
        <v>12</v>
      </c>
      <c r="D11" s="8"/>
      <c r="E11" s="8"/>
      <c r="F11" s="8"/>
      <c r="G11" s="122"/>
      <c r="H11" s="11"/>
    </row>
    <row r="12" spans="1:11" s="18" customFormat="1" ht="61.5" customHeight="1">
      <c r="A12" s="17"/>
      <c r="B12" s="42"/>
      <c r="C12" s="42" t="s">
        <v>263</v>
      </c>
      <c r="D12" s="145">
        <f>+D33+D34+D14</f>
        <v>0</v>
      </c>
      <c r="E12" s="145">
        <f t="shared" ref="E12:H12" si="0">+E33+E34+E14</f>
        <v>901543.9</v>
      </c>
      <c r="F12" s="145">
        <f t="shared" si="0"/>
        <v>-3401543.9</v>
      </c>
      <c r="G12" s="145">
        <f t="shared" si="0"/>
        <v>0</v>
      </c>
      <c r="H12" s="145">
        <f t="shared" si="0"/>
        <v>2500000</v>
      </c>
    </row>
    <row r="13" spans="1:11" s="18" customFormat="1" ht="22.7" customHeight="1">
      <c r="A13" s="17"/>
      <c r="B13" s="45"/>
      <c r="C13" s="46" t="s">
        <v>31</v>
      </c>
      <c r="D13" s="47"/>
      <c r="E13" s="48"/>
      <c r="F13" s="48"/>
      <c r="G13" s="48"/>
      <c r="H13" s="48"/>
    </row>
    <row r="14" spans="1:11" s="18" customFormat="1" ht="51.75" customHeight="1">
      <c r="A14" s="19" t="s">
        <v>269</v>
      </c>
      <c r="B14" s="46" t="s">
        <v>270</v>
      </c>
      <c r="C14" s="49" t="s">
        <v>271</v>
      </c>
      <c r="D14" s="43">
        <f>+D16+D32</f>
        <v>0</v>
      </c>
      <c r="E14" s="43">
        <f t="shared" ref="E14:H14" si="1">+E16+E32</f>
        <v>0</v>
      </c>
      <c r="F14" s="43">
        <f t="shared" si="1"/>
        <v>0</v>
      </c>
      <c r="G14" s="43">
        <f t="shared" si="1"/>
        <v>0</v>
      </c>
      <c r="H14" s="43">
        <f t="shared" si="1"/>
        <v>0</v>
      </c>
    </row>
    <row r="15" spans="1:11" s="1" customFormat="1">
      <c r="A15" s="134"/>
      <c r="B15" s="134"/>
      <c r="C15" s="139" t="s">
        <v>251</v>
      </c>
      <c r="D15" s="140"/>
      <c r="E15" s="140"/>
      <c r="F15" s="140"/>
      <c r="G15" s="140"/>
      <c r="H15" s="138"/>
    </row>
    <row r="16" spans="1:11" s="1" customFormat="1" ht="20.25" customHeight="1">
      <c r="A16" s="134"/>
      <c r="B16" s="134"/>
      <c r="C16" s="137" t="s">
        <v>284</v>
      </c>
      <c r="D16" s="141">
        <f>+D18+D21+D26</f>
        <v>7665691.9000000004</v>
      </c>
      <c r="E16" s="141"/>
      <c r="F16" s="141">
        <f t="shared" ref="F16" si="2">+F18+F21+F26</f>
        <v>7665691.9000000004</v>
      </c>
      <c r="G16" s="141"/>
      <c r="H16" s="141"/>
      <c r="I16" s="142"/>
      <c r="J16" s="142"/>
      <c r="K16" s="142"/>
    </row>
    <row r="17" spans="1:8" s="1" customFormat="1">
      <c r="A17" s="134"/>
      <c r="B17" s="134"/>
      <c r="C17" s="139" t="s">
        <v>285</v>
      </c>
      <c r="D17" s="141">
        <f t="shared" ref="D17:D31" si="3">+E17+F17+G17+H17</f>
        <v>0</v>
      </c>
      <c r="E17" s="138"/>
      <c r="F17" s="138"/>
      <c r="G17" s="138"/>
      <c r="H17" s="138"/>
    </row>
    <row r="18" spans="1:8" s="1" customFormat="1" ht="33">
      <c r="A18" s="134"/>
      <c r="B18" s="134"/>
      <c r="C18" s="143" t="s">
        <v>286</v>
      </c>
      <c r="D18" s="141">
        <f t="shared" si="3"/>
        <v>1679734.4</v>
      </c>
      <c r="E18" s="141"/>
      <c r="F18" s="141">
        <f t="shared" ref="F18" si="4">+F19+F20</f>
        <v>1679734.4</v>
      </c>
      <c r="G18" s="141"/>
      <c r="H18" s="141"/>
    </row>
    <row r="19" spans="1:8" s="1" customFormat="1" ht="40.5">
      <c r="A19" s="134"/>
      <c r="B19" s="134"/>
      <c r="C19" s="135" t="s">
        <v>272</v>
      </c>
      <c r="D19" s="141">
        <f t="shared" si="3"/>
        <v>1146128.5</v>
      </c>
      <c r="E19" s="136"/>
      <c r="F19" s="136">
        <v>1146128.5</v>
      </c>
      <c r="G19" s="136"/>
      <c r="H19" s="136"/>
    </row>
    <row r="20" spans="1:8" s="1" customFormat="1" ht="54">
      <c r="A20" s="134"/>
      <c r="B20" s="134"/>
      <c r="C20" s="135" t="s">
        <v>273</v>
      </c>
      <c r="D20" s="141">
        <f t="shared" si="3"/>
        <v>533605.9</v>
      </c>
      <c r="E20" s="136"/>
      <c r="F20" s="136">
        <v>533605.9</v>
      </c>
      <c r="G20" s="136"/>
      <c r="H20" s="136"/>
    </row>
    <row r="21" spans="1:8" s="1" customFormat="1" ht="33">
      <c r="A21" s="134"/>
      <c r="B21" s="134"/>
      <c r="C21" s="143" t="s">
        <v>287</v>
      </c>
      <c r="D21" s="141">
        <f t="shared" si="3"/>
        <v>2689439</v>
      </c>
      <c r="E21" s="141"/>
      <c r="F21" s="141">
        <f t="shared" ref="F21" si="5">+F22+F23+F24+F25</f>
        <v>2689439</v>
      </c>
      <c r="G21" s="141"/>
      <c r="H21" s="141"/>
    </row>
    <row r="22" spans="1:8" s="1" customFormat="1" ht="67.5">
      <c r="A22" s="134"/>
      <c r="B22" s="134"/>
      <c r="C22" s="135" t="s">
        <v>274</v>
      </c>
      <c r="D22" s="141">
        <f t="shared" si="3"/>
        <v>9256.7999999999993</v>
      </c>
      <c r="E22" s="136"/>
      <c r="F22" s="136">
        <v>9256.7999999999993</v>
      </c>
      <c r="G22" s="136"/>
      <c r="H22" s="136"/>
    </row>
    <row r="23" spans="1:8" s="1" customFormat="1" ht="40.5">
      <c r="A23" s="134"/>
      <c r="B23" s="134"/>
      <c r="C23" s="135" t="s">
        <v>275</v>
      </c>
      <c r="D23" s="141">
        <f t="shared" si="3"/>
        <v>1858397.7</v>
      </c>
      <c r="E23" s="136"/>
      <c r="F23" s="136">
        <v>1858397.7</v>
      </c>
      <c r="G23" s="136"/>
      <c r="H23" s="136"/>
    </row>
    <row r="24" spans="1:8" s="1" customFormat="1" ht="46.5" customHeight="1">
      <c r="A24" s="134"/>
      <c r="B24" s="134"/>
      <c r="C24" s="135" t="s">
        <v>276</v>
      </c>
      <c r="D24" s="141">
        <f t="shared" si="3"/>
        <v>809966.6</v>
      </c>
      <c r="E24" s="136"/>
      <c r="F24" s="136">
        <v>809966.6</v>
      </c>
      <c r="G24" s="136"/>
      <c r="H24" s="136"/>
    </row>
    <row r="25" spans="1:8" s="1" customFormat="1" ht="54">
      <c r="A25" s="134"/>
      <c r="B25" s="134"/>
      <c r="C25" s="135" t="s">
        <v>277</v>
      </c>
      <c r="D25" s="141">
        <f t="shared" si="3"/>
        <v>11817.9</v>
      </c>
      <c r="E25" s="136"/>
      <c r="F25" s="136">
        <v>11817.9</v>
      </c>
      <c r="G25" s="136"/>
      <c r="H25" s="136"/>
    </row>
    <row r="26" spans="1:8" s="1" customFormat="1" ht="33">
      <c r="A26" s="134"/>
      <c r="B26" s="134"/>
      <c r="C26" s="143" t="s">
        <v>288</v>
      </c>
      <c r="D26" s="141">
        <f t="shared" si="3"/>
        <v>3296518.5</v>
      </c>
      <c r="E26" s="141"/>
      <c r="F26" s="141">
        <f t="shared" ref="F26" si="6">+F27+F28+F29+F30+F31</f>
        <v>3296518.5</v>
      </c>
      <c r="G26" s="141"/>
      <c r="H26" s="141"/>
    </row>
    <row r="27" spans="1:8" s="1" customFormat="1" ht="40.5">
      <c r="A27" s="134"/>
      <c r="B27" s="134"/>
      <c r="C27" s="135" t="s">
        <v>278</v>
      </c>
      <c r="D27" s="141">
        <f t="shared" si="3"/>
        <v>455645.1</v>
      </c>
      <c r="E27" s="136"/>
      <c r="F27" s="136">
        <v>455645.1</v>
      </c>
      <c r="G27" s="136"/>
      <c r="H27" s="136"/>
    </row>
    <row r="28" spans="1:8" s="1" customFormat="1" ht="40.5">
      <c r="A28" s="134"/>
      <c r="B28" s="134"/>
      <c r="C28" s="135" t="s">
        <v>279</v>
      </c>
      <c r="D28" s="141">
        <f t="shared" si="3"/>
        <v>222709.1</v>
      </c>
      <c r="E28" s="136"/>
      <c r="F28" s="136">
        <v>222709.1</v>
      </c>
      <c r="G28" s="136"/>
      <c r="H28" s="136"/>
    </row>
    <row r="29" spans="1:8" s="1" customFormat="1" ht="27">
      <c r="A29" s="134"/>
      <c r="B29" s="134"/>
      <c r="C29" s="135" t="s">
        <v>280</v>
      </c>
      <c r="D29" s="141">
        <f t="shared" si="3"/>
        <v>1397747.9</v>
      </c>
      <c r="E29" s="136"/>
      <c r="F29" s="136">
        <v>1397747.9</v>
      </c>
      <c r="G29" s="136"/>
      <c r="H29" s="136"/>
    </row>
    <row r="30" spans="1:8" s="1" customFormat="1" ht="40.5">
      <c r="A30" s="134"/>
      <c r="B30" s="134"/>
      <c r="C30" s="135" t="s">
        <v>281</v>
      </c>
      <c r="D30" s="141">
        <f t="shared" si="3"/>
        <v>1063939.8</v>
      </c>
      <c r="E30" s="136"/>
      <c r="F30" s="136">
        <v>1063939.8</v>
      </c>
      <c r="G30" s="136"/>
      <c r="H30" s="136"/>
    </row>
    <row r="31" spans="1:8" s="1" customFormat="1" ht="40.5">
      <c r="A31" s="134"/>
      <c r="B31" s="134"/>
      <c r="C31" s="135" t="s">
        <v>282</v>
      </c>
      <c r="D31" s="141">
        <f t="shared" si="3"/>
        <v>156476.6</v>
      </c>
      <c r="E31" s="136"/>
      <c r="F31" s="136">
        <v>156476.6</v>
      </c>
      <c r="G31" s="136"/>
      <c r="H31" s="136"/>
    </row>
    <row r="32" spans="1:8" s="1" customFormat="1" ht="21" customHeight="1">
      <c r="A32" s="134"/>
      <c r="B32" s="134"/>
      <c r="C32" s="144" t="s">
        <v>283</v>
      </c>
      <c r="D32" s="141">
        <f>+E32+F32+G32+H32</f>
        <v>-7665691.9000000004</v>
      </c>
      <c r="E32" s="141"/>
      <c r="F32" s="141">
        <v>-7665691.9000000004</v>
      </c>
      <c r="G32" s="141"/>
      <c r="H32" s="141"/>
    </row>
    <row r="33" spans="1:8" s="18" customFormat="1" ht="33">
      <c r="A33" s="19">
        <v>1157</v>
      </c>
      <c r="B33" s="46">
        <v>21001</v>
      </c>
      <c r="C33" s="49" t="s">
        <v>265</v>
      </c>
      <c r="D33" s="43">
        <f>+E33+F33+G33+H33</f>
        <v>0</v>
      </c>
      <c r="E33" s="43">
        <f>+E246+E248+E250+E252+E254</f>
        <v>0</v>
      </c>
      <c r="F33" s="43">
        <v>-2500000</v>
      </c>
      <c r="G33" s="43">
        <f>+G246+G248+G250+G252+G254</f>
        <v>0</v>
      </c>
      <c r="H33" s="43">
        <v>2500000</v>
      </c>
    </row>
    <row r="34" spans="1:8" s="18" customFormat="1" ht="34.5" customHeight="1">
      <c r="A34" s="19">
        <v>1157</v>
      </c>
      <c r="B34" s="46">
        <v>21038</v>
      </c>
      <c r="C34" s="49" t="s">
        <v>264</v>
      </c>
      <c r="D34" s="43">
        <f>+E34+F34+G34+H34</f>
        <v>0</v>
      </c>
      <c r="E34" s="43">
        <v>901543.9</v>
      </c>
      <c r="F34" s="43">
        <v>-901543.9</v>
      </c>
      <c r="G34" s="43">
        <f>+G247+G249+G251+G253+G255</f>
        <v>0</v>
      </c>
      <c r="H34" s="44">
        <v>0</v>
      </c>
    </row>
    <row r="35" spans="1:8" s="18" customFormat="1" ht="66.95" customHeight="1">
      <c r="A35" s="17"/>
      <c r="B35" s="42"/>
      <c r="C35" s="42" t="s">
        <v>96</v>
      </c>
      <c r="D35" s="43">
        <f>+E35+F35+G35+H35</f>
        <v>-599999.99999999977</v>
      </c>
      <c r="E35" s="44">
        <f>+E37+E49+E57+E122+E137+E141+E145+E149+E173+E178+E185+E234+E241+E242</f>
        <v>-157030.59999999986</v>
      </c>
      <c r="F35" s="44">
        <f t="shared" ref="F35:H35" si="7">+F37+F49+F57+F122+F137+F141+F145+F149+F173+F178+F185+F234+F241+F242</f>
        <v>-784309.6</v>
      </c>
      <c r="G35" s="44">
        <f t="shared" si="7"/>
        <v>341340.2</v>
      </c>
      <c r="H35" s="44">
        <f t="shared" si="7"/>
        <v>0</v>
      </c>
    </row>
    <row r="36" spans="1:8" s="18" customFormat="1" ht="22.7" customHeight="1">
      <c r="A36" s="17"/>
      <c r="B36" s="45"/>
      <c r="C36" s="46" t="s">
        <v>31</v>
      </c>
      <c r="D36" s="47"/>
      <c r="E36" s="48"/>
      <c r="F36" s="48"/>
      <c r="G36" s="48"/>
      <c r="H36" s="48"/>
    </row>
    <row r="37" spans="1:8" s="18" customFormat="1" ht="33">
      <c r="A37" s="19">
        <v>1045</v>
      </c>
      <c r="B37" s="46">
        <v>32001</v>
      </c>
      <c r="C37" s="49" t="s">
        <v>64</v>
      </c>
      <c r="D37" s="43">
        <f>+E37+F37+G37+H37</f>
        <v>-110674.70000000004</v>
      </c>
      <c r="E37" s="43">
        <f>+E39+E41+E43+E45+E47</f>
        <v>0</v>
      </c>
      <c r="F37" s="43">
        <f>+F39+F41+F43+F45+F47</f>
        <v>-110674.70000000004</v>
      </c>
      <c r="G37" s="43">
        <f>+G39+G41+G43+G45+G47</f>
        <v>0</v>
      </c>
      <c r="H37" s="43">
        <f>+H39+H41+H43+H45+H47</f>
        <v>0</v>
      </c>
    </row>
    <row r="38" spans="1:8" s="18" customFormat="1" ht="20.45" customHeight="1">
      <c r="A38" s="20"/>
      <c r="B38" s="50"/>
      <c r="C38" s="51" t="s">
        <v>32</v>
      </c>
      <c r="D38" s="52"/>
      <c r="E38" s="52"/>
      <c r="F38" s="50"/>
      <c r="G38" s="50"/>
      <c r="H38" s="50"/>
    </row>
    <row r="39" spans="1:8" s="18" customFormat="1" ht="17.25">
      <c r="A39" s="20"/>
      <c r="B39" s="50"/>
      <c r="C39" s="53" t="s">
        <v>97</v>
      </c>
      <c r="D39" s="54">
        <f>SUM(E39:H39)</f>
        <v>111195.1</v>
      </c>
      <c r="E39" s="54">
        <f>SUM(E40:E40)</f>
        <v>0</v>
      </c>
      <c r="F39" s="54">
        <f>SUM(F40:F40)</f>
        <v>111195.1</v>
      </c>
      <c r="G39" s="54">
        <f>SUM(G40:G40)</f>
        <v>0</v>
      </c>
      <c r="H39" s="54">
        <f>SUM(H40:H40)</f>
        <v>0</v>
      </c>
    </row>
    <row r="40" spans="1:8" s="18" customFormat="1" ht="33">
      <c r="A40" s="21"/>
      <c r="B40" s="55"/>
      <c r="C40" s="56" t="s">
        <v>98</v>
      </c>
      <c r="D40" s="57">
        <f t="shared" ref="D40" si="8">+E40+F40+G40+H40</f>
        <v>111195.1</v>
      </c>
      <c r="E40" s="57"/>
      <c r="F40" s="57">
        <f>110000+960.1+235</f>
        <v>111195.1</v>
      </c>
      <c r="G40" s="57"/>
      <c r="H40" s="58"/>
    </row>
    <row r="41" spans="1:8" s="18" customFormat="1" ht="17.25">
      <c r="A41" s="20"/>
      <c r="B41" s="50"/>
      <c r="C41" s="53" t="s">
        <v>99</v>
      </c>
      <c r="D41" s="54">
        <f>SUM(E41:H41)</f>
        <v>-155400</v>
      </c>
      <c r="E41" s="54">
        <f>+E42</f>
        <v>0</v>
      </c>
      <c r="F41" s="54">
        <f>+F42</f>
        <v>-155400</v>
      </c>
      <c r="G41" s="54">
        <f t="shared" ref="G41:H41" si="9">+G42</f>
        <v>0</v>
      </c>
      <c r="H41" s="54">
        <f t="shared" si="9"/>
        <v>0</v>
      </c>
    </row>
    <row r="42" spans="1:8" s="18" customFormat="1" ht="17.25">
      <c r="A42" s="20"/>
      <c r="B42" s="50"/>
      <c r="C42" s="56" t="s">
        <v>100</v>
      </c>
      <c r="D42" s="57">
        <f>+E42+F42+G42+H42</f>
        <v>-155400</v>
      </c>
      <c r="E42" s="57"/>
      <c r="F42" s="57">
        <v>-155400</v>
      </c>
      <c r="G42" s="57"/>
      <c r="H42" s="59"/>
    </row>
    <row r="43" spans="1:8" s="18" customFormat="1" ht="17.25">
      <c r="A43" s="20"/>
      <c r="B43" s="50"/>
      <c r="C43" s="53" t="s">
        <v>101</v>
      </c>
      <c r="D43" s="54">
        <f>SUM(E43:H43)</f>
        <v>-225430.5</v>
      </c>
      <c r="E43" s="54">
        <f>+E44</f>
        <v>0</v>
      </c>
      <c r="F43" s="54">
        <f t="shared" ref="F43:H47" si="10">+F44</f>
        <v>-225430.5</v>
      </c>
      <c r="G43" s="54">
        <f t="shared" si="10"/>
        <v>0</v>
      </c>
      <c r="H43" s="54">
        <f t="shared" si="10"/>
        <v>0</v>
      </c>
    </row>
    <row r="44" spans="1:8" s="18" customFormat="1" ht="16.149999999999999" customHeight="1">
      <c r="A44" s="20"/>
      <c r="B44" s="50"/>
      <c r="C44" s="56" t="s">
        <v>102</v>
      </c>
      <c r="D44" s="57">
        <f>+E44+F44+G44+H44</f>
        <v>-225430.5</v>
      </c>
      <c r="E44" s="57"/>
      <c r="F44" s="57">
        <v>-225430.5</v>
      </c>
      <c r="G44" s="57"/>
      <c r="H44" s="59"/>
    </row>
    <row r="45" spans="1:8" s="18" customFormat="1" ht="17.25">
      <c r="A45" s="20"/>
      <c r="B45" s="50"/>
      <c r="C45" s="53" t="s">
        <v>103</v>
      </c>
      <c r="D45" s="54">
        <f>SUM(E45:H45)</f>
        <v>79960.699999999983</v>
      </c>
      <c r="E45" s="54">
        <f>+E46</f>
        <v>0</v>
      </c>
      <c r="F45" s="54">
        <f t="shared" si="10"/>
        <v>79960.699999999983</v>
      </c>
      <c r="G45" s="54">
        <f t="shared" si="10"/>
        <v>0</v>
      </c>
      <c r="H45" s="54">
        <f t="shared" si="10"/>
        <v>0</v>
      </c>
    </row>
    <row r="46" spans="1:8" s="18" customFormat="1" ht="17.25">
      <c r="A46" s="20"/>
      <c r="B46" s="50"/>
      <c r="C46" s="56" t="s">
        <v>104</v>
      </c>
      <c r="D46" s="57">
        <f>+E46+F46+G46+H46</f>
        <v>79960.699999999983</v>
      </c>
      <c r="E46" s="57"/>
      <c r="F46" s="57">
        <f>-150000+272590.3-42629.6</f>
        <v>79960.699999999983</v>
      </c>
      <c r="G46" s="57"/>
      <c r="H46" s="59"/>
    </row>
    <row r="47" spans="1:8" s="18" customFormat="1" ht="17.25">
      <c r="A47" s="20"/>
      <c r="B47" s="50"/>
      <c r="C47" s="53" t="s">
        <v>105</v>
      </c>
      <c r="D47" s="54">
        <f>SUM(E47:H47)</f>
        <v>79000</v>
      </c>
      <c r="E47" s="54">
        <f>+E48</f>
        <v>0</v>
      </c>
      <c r="F47" s="54">
        <f t="shared" si="10"/>
        <v>79000</v>
      </c>
      <c r="G47" s="54">
        <f t="shared" si="10"/>
        <v>0</v>
      </c>
      <c r="H47" s="54">
        <f t="shared" si="10"/>
        <v>0</v>
      </c>
    </row>
    <row r="48" spans="1:8" s="18" customFormat="1" ht="17.25">
      <c r="A48" s="20"/>
      <c r="B48" s="50"/>
      <c r="C48" s="56" t="s">
        <v>106</v>
      </c>
      <c r="D48" s="57">
        <f>+E48+F48+G48+H48</f>
        <v>79000</v>
      </c>
      <c r="E48" s="57"/>
      <c r="F48" s="57">
        <f>-180000+259000</f>
        <v>79000</v>
      </c>
      <c r="G48" s="57"/>
      <c r="H48" s="59"/>
    </row>
    <row r="49" spans="1:8" s="18" customFormat="1" ht="63" customHeight="1">
      <c r="A49" s="19">
        <v>1045</v>
      </c>
      <c r="B49" s="46">
        <v>32005</v>
      </c>
      <c r="C49" s="49" t="s">
        <v>107</v>
      </c>
      <c r="D49" s="43">
        <f>+E49+F49+G49+H49</f>
        <v>68045.100000000035</v>
      </c>
      <c r="E49" s="43">
        <f>+E51+E53+E55</f>
        <v>63802.300000000032</v>
      </c>
      <c r="F49" s="43">
        <f t="shared" ref="F49:H49" si="11">+F51+F53+F55</f>
        <v>0</v>
      </c>
      <c r="G49" s="43">
        <f t="shared" si="11"/>
        <v>4242.8000000000029</v>
      </c>
      <c r="H49" s="43">
        <f t="shared" si="11"/>
        <v>0</v>
      </c>
    </row>
    <row r="50" spans="1:8" s="18" customFormat="1" ht="22.15" customHeight="1">
      <c r="A50" s="22"/>
      <c r="B50" s="60"/>
      <c r="C50" s="61" t="s">
        <v>32</v>
      </c>
      <c r="D50" s="52"/>
      <c r="E50" s="52"/>
      <c r="F50" s="50"/>
      <c r="G50" s="50"/>
      <c r="H50" s="50"/>
    </row>
    <row r="51" spans="1:8" s="18" customFormat="1" ht="17.25">
      <c r="A51" s="20"/>
      <c r="B51" s="50"/>
      <c r="C51" s="53" t="s">
        <v>97</v>
      </c>
      <c r="D51" s="54">
        <f>SUM(E51:H51)</f>
        <v>155215.00000000003</v>
      </c>
      <c r="E51" s="54">
        <f>+E52</f>
        <v>195957.10000000003</v>
      </c>
      <c r="F51" s="54">
        <f t="shared" ref="F51:H53" si="12">+F52</f>
        <v>0</v>
      </c>
      <c r="G51" s="54">
        <f t="shared" si="12"/>
        <v>-40742.1</v>
      </c>
      <c r="H51" s="54">
        <f t="shared" si="12"/>
        <v>0</v>
      </c>
    </row>
    <row r="52" spans="1:8" s="18" customFormat="1" ht="33">
      <c r="A52" s="20"/>
      <c r="B52" s="50"/>
      <c r="C52" s="56" t="s">
        <v>108</v>
      </c>
      <c r="D52" s="57">
        <f>+E52+F52+G52+H52</f>
        <v>155215.00000000003</v>
      </c>
      <c r="E52" s="57">
        <f>40742.1+68045.1+25015.1+62154.8</f>
        <v>195957.10000000003</v>
      </c>
      <c r="F52" s="57"/>
      <c r="G52" s="57">
        <v>-40742.1</v>
      </c>
      <c r="H52" s="59"/>
    </row>
    <row r="53" spans="1:8" s="18" customFormat="1" ht="17.25">
      <c r="A53" s="20"/>
      <c r="B53" s="50"/>
      <c r="C53" s="53" t="s">
        <v>109</v>
      </c>
      <c r="D53" s="54">
        <f>SUM(E53:H53)</f>
        <v>-25015.1</v>
      </c>
      <c r="E53" s="54">
        <f>+E54</f>
        <v>-70000</v>
      </c>
      <c r="F53" s="54">
        <f t="shared" si="12"/>
        <v>0</v>
      </c>
      <c r="G53" s="54">
        <f t="shared" si="12"/>
        <v>44984.9</v>
      </c>
      <c r="H53" s="54">
        <f t="shared" si="12"/>
        <v>0</v>
      </c>
    </row>
    <row r="54" spans="1:8" s="18" customFormat="1" ht="17.25">
      <c r="A54" s="20"/>
      <c r="B54" s="50"/>
      <c r="C54" s="56" t="s">
        <v>110</v>
      </c>
      <c r="D54" s="57">
        <f>+E54+F54+G54+H54</f>
        <v>-25015.1</v>
      </c>
      <c r="E54" s="57">
        <v>-70000</v>
      </c>
      <c r="F54" s="57"/>
      <c r="G54" s="57">
        <f>43184.9+1800</f>
        <v>44984.9</v>
      </c>
      <c r="H54" s="59"/>
    </row>
    <row r="55" spans="1:8" s="23" customFormat="1" ht="16.899999999999999" customHeight="1">
      <c r="A55" s="20"/>
      <c r="B55" s="50"/>
      <c r="C55" s="53" t="s">
        <v>101</v>
      </c>
      <c r="D55" s="54">
        <f>SUM(E55:H55)</f>
        <v>-62154.8</v>
      </c>
      <c r="E55" s="54">
        <f>+E56</f>
        <v>-62154.8</v>
      </c>
      <c r="F55" s="54">
        <f>+F56</f>
        <v>0</v>
      </c>
      <c r="G55" s="54">
        <f>+G56</f>
        <v>0</v>
      </c>
      <c r="H55" s="54">
        <f>+H56</f>
        <v>0</v>
      </c>
    </row>
    <row r="56" spans="1:8" s="18" customFormat="1" ht="33">
      <c r="A56" s="20"/>
      <c r="B56" s="50"/>
      <c r="C56" s="56" t="s">
        <v>111</v>
      </c>
      <c r="D56" s="57">
        <f>+E56+F56+G56+H56</f>
        <v>-62154.8</v>
      </c>
      <c r="E56" s="57">
        <f>-62154.8</f>
        <v>-62154.8</v>
      </c>
      <c r="F56" s="57"/>
      <c r="G56" s="57"/>
      <c r="H56" s="58"/>
    </row>
    <row r="57" spans="1:8" s="18" customFormat="1" ht="43.15" customHeight="1">
      <c r="A57" s="19">
        <v>1075</v>
      </c>
      <c r="B57" s="46">
        <v>21001</v>
      </c>
      <c r="C57" s="49" t="s">
        <v>112</v>
      </c>
      <c r="D57" s="43">
        <f>SUM(E57:H57)</f>
        <v>0</v>
      </c>
      <c r="E57" s="43">
        <f>+E59+E96</f>
        <v>0</v>
      </c>
      <c r="F57" s="43">
        <f>+F59+F96</f>
        <v>-111218.4</v>
      </c>
      <c r="G57" s="43">
        <f>+G59+G96</f>
        <v>111218.4</v>
      </c>
      <c r="H57" s="43">
        <f>+H59+H96</f>
        <v>0</v>
      </c>
    </row>
    <row r="58" spans="1:8" s="18" customFormat="1" ht="17.25">
      <c r="A58" s="19"/>
      <c r="B58" s="46"/>
      <c r="C58" s="62" t="s">
        <v>32</v>
      </c>
      <c r="D58" s="43"/>
      <c r="E58" s="43"/>
      <c r="F58" s="63"/>
      <c r="G58" s="63"/>
      <c r="H58" s="43"/>
    </row>
    <row r="59" spans="1:8" s="23" customFormat="1" ht="21" customHeight="1">
      <c r="A59" s="24"/>
      <c r="B59" s="64"/>
      <c r="C59" s="64" t="s">
        <v>113</v>
      </c>
      <c r="D59" s="65">
        <f>SUM(E59:H59)</f>
        <v>-111218.4</v>
      </c>
      <c r="E59" s="65">
        <f>+E61+E64+E68+E70+E73+E75+E80+E82+E85+E87+E92</f>
        <v>0</v>
      </c>
      <c r="F59" s="65">
        <f>+F61+F64+F68+F70+F73+F75+F80+F82+F85+F87+F92</f>
        <v>-111218.4</v>
      </c>
      <c r="G59" s="65">
        <f t="shared" ref="G59:H59" si="13">+G61+G64+G68+G70+G73+G75+G80+G82+G85+G87+G92</f>
        <v>0</v>
      </c>
      <c r="H59" s="65">
        <f t="shared" si="13"/>
        <v>0</v>
      </c>
    </row>
    <row r="60" spans="1:8" s="18" customFormat="1" ht="17.25">
      <c r="A60" s="19"/>
      <c r="B60" s="46"/>
      <c r="C60" s="45" t="s">
        <v>114</v>
      </c>
      <c r="D60" s="43"/>
      <c r="E60" s="43"/>
      <c r="F60" s="43"/>
      <c r="G60" s="43"/>
      <c r="H60" s="43"/>
    </row>
    <row r="61" spans="1:8" s="23" customFormat="1" ht="17.25">
      <c r="A61" s="25"/>
      <c r="B61" s="66"/>
      <c r="C61" s="53" t="s">
        <v>97</v>
      </c>
      <c r="D61" s="54">
        <f t="shared" ref="D61:D90" si="14">SUM(E61:H61)</f>
        <v>-183717.5</v>
      </c>
      <c r="E61" s="54">
        <f>SUM(E62:E63)</f>
        <v>0</v>
      </c>
      <c r="F61" s="54">
        <f t="shared" ref="F61:H61" si="15">SUM(F62:F63)</f>
        <v>-183717.5</v>
      </c>
      <c r="G61" s="54">
        <f t="shared" si="15"/>
        <v>0</v>
      </c>
      <c r="H61" s="54">
        <f t="shared" si="15"/>
        <v>0</v>
      </c>
    </row>
    <row r="62" spans="1:8" s="27" customFormat="1" ht="54.6" customHeight="1">
      <c r="A62" s="26"/>
      <c r="B62" s="67"/>
      <c r="C62" s="56" t="s">
        <v>115</v>
      </c>
      <c r="D62" s="57">
        <f t="shared" ref="D62:D63" si="16">SUM(E62:H62)</f>
        <v>-252217.5</v>
      </c>
      <c r="E62" s="57"/>
      <c r="F62" s="57">
        <f>-253717.5+1500</f>
        <v>-252217.5</v>
      </c>
      <c r="G62" s="57"/>
      <c r="H62" s="57"/>
    </row>
    <row r="63" spans="1:8" s="27" customFormat="1" ht="66">
      <c r="A63" s="26"/>
      <c r="B63" s="67"/>
      <c r="C63" s="56" t="s">
        <v>116</v>
      </c>
      <c r="D63" s="57">
        <f t="shared" si="16"/>
        <v>68500</v>
      </c>
      <c r="E63" s="57"/>
      <c r="F63" s="57">
        <v>68500</v>
      </c>
      <c r="G63" s="57"/>
      <c r="H63" s="57"/>
    </row>
    <row r="64" spans="1:8" s="23" customFormat="1" ht="17.25">
      <c r="A64" s="25"/>
      <c r="B64" s="66"/>
      <c r="C64" s="53" t="s">
        <v>117</v>
      </c>
      <c r="D64" s="54">
        <f t="shared" si="14"/>
        <v>-76664.200000000012</v>
      </c>
      <c r="E64" s="54">
        <f>SUM(E65:E67)</f>
        <v>0</v>
      </c>
      <c r="F64" s="54">
        <f>SUM(F65:F67)</f>
        <v>-76664.200000000012</v>
      </c>
      <c r="G64" s="54">
        <f t="shared" ref="G64:H64" si="17">SUM(G65:G67)</f>
        <v>0</v>
      </c>
      <c r="H64" s="54">
        <f t="shared" si="17"/>
        <v>0</v>
      </c>
    </row>
    <row r="65" spans="1:8" s="27" customFormat="1" ht="60" customHeight="1">
      <c r="A65" s="208"/>
      <c r="B65" s="210"/>
      <c r="C65" s="56" t="s">
        <v>118</v>
      </c>
      <c r="D65" s="57">
        <f t="shared" si="14"/>
        <v>99.69999999999709</v>
      </c>
      <c r="E65" s="57"/>
      <c r="F65" s="57">
        <f>-33640.3+33740</f>
        <v>99.69999999999709</v>
      </c>
      <c r="G65" s="57"/>
      <c r="H65" s="57"/>
    </row>
    <row r="66" spans="1:8" s="27" customFormat="1" ht="60" customHeight="1">
      <c r="A66" s="209"/>
      <c r="B66" s="211"/>
      <c r="C66" s="56" t="s">
        <v>119</v>
      </c>
      <c r="D66" s="57">
        <f t="shared" ref="D66:D74" si="18">SUM(E66:H66)</f>
        <v>-25113.900000000009</v>
      </c>
      <c r="E66" s="57"/>
      <c r="F66" s="57">
        <f>-100426.8+75312.9</f>
        <v>-25113.900000000009</v>
      </c>
      <c r="G66" s="57"/>
      <c r="H66" s="57"/>
    </row>
    <row r="67" spans="1:8" s="27" customFormat="1" ht="33">
      <c r="A67" s="209"/>
      <c r="B67" s="211"/>
      <c r="C67" s="56" t="s">
        <v>120</v>
      </c>
      <c r="D67" s="57">
        <f t="shared" si="18"/>
        <v>-51650</v>
      </c>
      <c r="E67" s="57"/>
      <c r="F67" s="57">
        <v>-51650</v>
      </c>
      <c r="G67" s="57"/>
      <c r="H67" s="57"/>
    </row>
    <row r="68" spans="1:8" s="23" customFormat="1" ht="17.25">
      <c r="A68" s="25"/>
      <c r="B68" s="66"/>
      <c r="C68" s="53" t="s">
        <v>99</v>
      </c>
      <c r="D68" s="54">
        <f t="shared" si="18"/>
        <v>2395</v>
      </c>
      <c r="E68" s="54">
        <f>+E69</f>
        <v>0</v>
      </c>
      <c r="F68" s="54">
        <f t="shared" ref="F68:H68" si="19">+F69</f>
        <v>2395</v>
      </c>
      <c r="G68" s="54">
        <f t="shared" si="19"/>
        <v>0</v>
      </c>
      <c r="H68" s="54">
        <f t="shared" si="19"/>
        <v>0</v>
      </c>
    </row>
    <row r="69" spans="1:8" s="27" customFormat="1" ht="33">
      <c r="A69" s="28"/>
      <c r="B69" s="68"/>
      <c r="C69" s="56" t="s">
        <v>121</v>
      </c>
      <c r="D69" s="57">
        <f t="shared" si="18"/>
        <v>2395</v>
      </c>
      <c r="E69" s="57"/>
      <c r="F69" s="57">
        <f>-20660+23055</f>
        <v>2395</v>
      </c>
      <c r="G69" s="57"/>
      <c r="H69" s="57"/>
    </row>
    <row r="70" spans="1:8" s="23" customFormat="1" ht="17.25">
      <c r="A70" s="25"/>
      <c r="B70" s="66"/>
      <c r="C70" s="53" t="s">
        <v>109</v>
      </c>
      <c r="D70" s="54">
        <f t="shared" ref="D70:D71" si="20">SUM(E70:H70)</f>
        <v>32479.600000000002</v>
      </c>
      <c r="E70" s="54">
        <f>SUM(E71:E72)</f>
        <v>0</v>
      </c>
      <c r="F70" s="54">
        <f t="shared" ref="F70:H70" si="21">SUM(F71:F72)</f>
        <v>32479.600000000002</v>
      </c>
      <c r="G70" s="54">
        <f t="shared" si="21"/>
        <v>0</v>
      </c>
      <c r="H70" s="54">
        <f t="shared" si="21"/>
        <v>0</v>
      </c>
    </row>
    <row r="71" spans="1:8" s="27" customFormat="1">
      <c r="A71" s="208"/>
      <c r="B71" s="210"/>
      <c r="C71" s="56" t="s">
        <v>122</v>
      </c>
      <c r="D71" s="57">
        <f t="shared" si="20"/>
        <v>23592.400000000001</v>
      </c>
      <c r="E71" s="57"/>
      <c r="F71" s="57">
        <v>23592.400000000001</v>
      </c>
      <c r="G71" s="57"/>
      <c r="H71" s="57"/>
    </row>
    <row r="72" spans="1:8" s="27" customFormat="1" ht="49.5">
      <c r="A72" s="212"/>
      <c r="B72" s="213"/>
      <c r="C72" s="56" t="s">
        <v>123</v>
      </c>
      <c r="D72" s="57">
        <f t="shared" ref="D72" si="22">SUM(E72:H72)</f>
        <v>8887.2000000000007</v>
      </c>
      <c r="E72" s="57"/>
      <c r="F72" s="57">
        <v>8887.2000000000007</v>
      </c>
      <c r="G72" s="57"/>
      <c r="H72" s="57"/>
    </row>
    <row r="73" spans="1:8" s="23" customFormat="1" ht="17.25">
      <c r="A73" s="25"/>
      <c r="B73" s="66"/>
      <c r="C73" s="53" t="s">
        <v>101</v>
      </c>
      <c r="D73" s="54">
        <f t="shared" si="18"/>
        <v>-20620</v>
      </c>
      <c r="E73" s="54">
        <f>+E74</f>
        <v>0</v>
      </c>
      <c r="F73" s="54">
        <f t="shared" ref="F73:H73" si="23">+F74</f>
        <v>-20620</v>
      </c>
      <c r="G73" s="54">
        <f t="shared" si="23"/>
        <v>0</v>
      </c>
      <c r="H73" s="54">
        <f t="shared" si="23"/>
        <v>0</v>
      </c>
    </row>
    <row r="74" spans="1:8" s="27" customFormat="1" ht="33">
      <c r="A74" s="25"/>
      <c r="B74" s="66"/>
      <c r="C74" s="56" t="s">
        <v>124</v>
      </c>
      <c r="D74" s="57">
        <f t="shared" si="18"/>
        <v>-20620</v>
      </c>
      <c r="E74" s="57"/>
      <c r="F74" s="57">
        <f>-41320+20700</f>
        <v>-20620</v>
      </c>
      <c r="G74" s="57"/>
      <c r="H74" s="57"/>
    </row>
    <row r="75" spans="1:8" s="23" customFormat="1" ht="17.25">
      <c r="A75" s="25"/>
      <c r="B75" s="66"/>
      <c r="C75" s="53" t="s">
        <v>125</v>
      </c>
      <c r="D75" s="54">
        <f t="shared" si="14"/>
        <v>2024.7000000000044</v>
      </c>
      <c r="E75" s="54">
        <f>SUM(E76:E79)</f>
        <v>0</v>
      </c>
      <c r="F75" s="54">
        <f>SUM(F76:F79)</f>
        <v>2024.7000000000044</v>
      </c>
      <c r="G75" s="54">
        <f t="shared" ref="G75:H75" si="24">SUM(G76:G79)</f>
        <v>0</v>
      </c>
      <c r="H75" s="54">
        <f t="shared" si="24"/>
        <v>0</v>
      </c>
    </row>
    <row r="76" spans="1:8" s="27" customFormat="1" ht="57.95" customHeight="1">
      <c r="A76" s="208"/>
      <c r="B76" s="210"/>
      <c r="C76" s="56" t="s">
        <v>126</v>
      </c>
      <c r="D76" s="57">
        <f t="shared" si="14"/>
        <v>17083.100000000006</v>
      </c>
      <c r="E76" s="57"/>
      <c r="F76" s="57">
        <f>-120586.9+137670</f>
        <v>17083.100000000006</v>
      </c>
      <c r="G76" s="57"/>
      <c r="H76" s="57"/>
    </row>
    <row r="77" spans="1:8" s="27" customFormat="1" ht="66">
      <c r="A77" s="209"/>
      <c r="B77" s="211"/>
      <c r="C77" s="56" t="s">
        <v>127</v>
      </c>
      <c r="D77" s="57">
        <f t="shared" si="14"/>
        <v>-30041</v>
      </c>
      <c r="E77" s="57"/>
      <c r="F77" s="57">
        <f>-51650+21609</f>
        <v>-30041</v>
      </c>
      <c r="G77" s="57"/>
      <c r="H77" s="57"/>
    </row>
    <row r="78" spans="1:8" s="27" customFormat="1" ht="33">
      <c r="A78" s="209"/>
      <c r="B78" s="211"/>
      <c r="C78" s="56" t="s">
        <v>128</v>
      </c>
      <c r="D78" s="57">
        <f t="shared" ref="D78:D86" si="25">SUM(E78:H78)</f>
        <v>-6217.4000000000015</v>
      </c>
      <c r="E78" s="57"/>
      <c r="F78" s="57">
        <f>-30990+24772.6</f>
        <v>-6217.4000000000015</v>
      </c>
      <c r="G78" s="57"/>
      <c r="H78" s="57"/>
    </row>
    <row r="79" spans="1:8" s="27" customFormat="1" ht="33">
      <c r="A79" s="212"/>
      <c r="B79" s="213"/>
      <c r="C79" s="56" t="s">
        <v>129</v>
      </c>
      <c r="D79" s="57">
        <f t="shared" ref="D79" si="26">SUM(E79:H79)</f>
        <v>21200</v>
      </c>
      <c r="E79" s="57"/>
      <c r="F79" s="57">
        <v>21200</v>
      </c>
      <c r="G79" s="57"/>
      <c r="H79" s="57"/>
    </row>
    <row r="80" spans="1:8" s="23" customFormat="1" ht="17.25">
      <c r="A80" s="25"/>
      <c r="B80" s="66"/>
      <c r="C80" s="53" t="s">
        <v>130</v>
      </c>
      <c r="D80" s="54">
        <f t="shared" si="25"/>
        <v>37248</v>
      </c>
      <c r="E80" s="54">
        <f>+E81</f>
        <v>0</v>
      </c>
      <c r="F80" s="54">
        <f>+F81</f>
        <v>37248</v>
      </c>
      <c r="G80" s="54">
        <f t="shared" ref="G80:H80" si="27">+G81</f>
        <v>0</v>
      </c>
      <c r="H80" s="54">
        <f t="shared" si="27"/>
        <v>0</v>
      </c>
    </row>
    <row r="81" spans="1:8" s="27" customFormat="1" ht="33">
      <c r="A81" s="26"/>
      <c r="B81" s="67"/>
      <c r="C81" s="56" t="s">
        <v>131</v>
      </c>
      <c r="D81" s="57">
        <f t="shared" si="25"/>
        <v>37248</v>
      </c>
      <c r="E81" s="57"/>
      <c r="F81" s="57">
        <f>-60600+97848</f>
        <v>37248</v>
      </c>
      <c r="G81" s="57"/>
      <c r="H81" s="57"/>
    </row>
    <row r="82" spans="1:8" s="23" customFormat="1" ht="17.25">
      <c r="A82" s="25"/>
      <c r="B82" s="66"/>
      <c r="C82" s="53" t="s">
        <v>103</v>
      </c>
      <c r="D82" s="54">
        <f t="shared" si="25"/>
        <v>34207.5</v>
      </c>
      <c r="E82" s="54">
        <f>SUM(E83:E84)</f>
        <v>0</v>
      </c>
      <c r="F82" s="54">
        <f>SUM(F83:F84)</f>
        <v>34207.5</v>
      </c>
      <c r="G82" s="54">
        <f t="shared" ref="G82:H82" si="28">SUM(G83:G84)</f>
        <v>0</v>
      </c>
      <c r="H82" s="54">
        <f t="shared" si="28"/>
        <v>0</v>
      </c>
    </row>
    <row r="83" spans="1:8" s="27" customFormat="1" ht="57.95" customHeight="1">
      <c r="A83" s="208"/>
      <c r="B83" s="210"/>
      <c r="C83" s="56" t="s">
        <v>132</v>
      </c>
      <c r="D83" s="57">
        <f t="shared" si="25"/>
        <v>54867.5</v>
      </c>
      <c r="E83" s="57"/>
      <c r="F83" s="57">
        <f>-41320+96187.5</f>
        <v>54867.5</v>
      </c>
      <c r="G83" s="57"/>
      <c r="H83" s="57"/>
    </row>
    <row r="84" spans="1:8" s="27" customFormat="1" ht="33">
      <c r="A84" s="212"/>
      <c r="B84" s="213"/>
      <c r="C84" s="56" t="s">
        <v>133</v>
      </c>
      <c r="D84" s="57">
        <f t="shared" si="25"/>
        <v>-20660</v>
      </c>
      <c r="E84" s="57"/>
      <c r="F84" s="57">
        <v>-20660</v>
      </c>
      <c r="G84" s="57"/>
      <c r="H84" s="57"/>
    </row>
    <row r="85" spans="1:8" s="23" customFormat="1" ht="17.25">
      <c r="A85" s="25"/>
      <c r="B85" s="66"/>
      <c r="C85" s="53" t="s">
        <v>134</v>
      </c>
      <c r="D85" s="54">
        <f t="shared" si="25"/>
        <v>-20660</v>
      </c>
      <c r="E85" s="54">
        <f>+E86</f>
        <v>0</v>
      </c>
      <c r="F85" s="54">
        <f>+F86</f>
        <v>-20660</v>
      </c>
      <c r="G85" s="54">
        <f t="shared" ref="G85:H85" si="29">+G86</f>
        <v>0</v>
      </c>
      <c r="H85" s="54">
        <f t="shared" si="29"/>
        <v>0</v>
      </c>
    </row>
    <row r="86" spans="1:8" s="27" customFormat="1" ht="49.5">
      <c r="A86" s="26"/>
      <c r="B86" s="67"/>
      <c r="C86" s="56" t="s">
        <v>135</v>
      </c>
      <c r="D86" s="57">
        <f t="shared" si="25"/>
        <v>-20660</v>
      </c>
      <c r="E86" s="57"/>
      <c r="F86" s="57">
        <v>-20660</v>
      </c>
      <c r="G86" s="57"/>
      <c r="H86" s="57"/>
    </row>
    <row r="87" spans="1:8" s="23" customFormat="1" ht="17.25">
      <c r="A87" s="25"/>
      <c r="B87" s="66"/>
      <c r="C87" s="53" t="s">
        <v>136</v>
      </c>
      <c r="D87" s="54">
        <f t="shared" si="14"/>
        <v>85354.3</v>
      </c>
      <c r="E87" s="54">
        <f>SUM(E88:E91)</f>
        <v>0</v>
      </c>
      <c r="F87" s="54">
        <f>SUM(F88:F91)</f>
        <v>85354.3</v>
      </c>
      <c r="G87" s="54">
        <f t="shared" ref="G87:H87" si="30">SUM(G88:G91)</f>
        <v>0</v>
      </c>
      <c r="H87" s="54">
        <f t="shared" si="30"/>
        <v>0</v>
      </c>
    </row>
    <row r="88" spans="1:8" s="27" customFormat="1" ht="33">
      <c r="A88" s="208"/>
      <c r="B88" s="210"/>
      <c r="C88" s="56" t="s">
        <v>137</v>
      </c>
      <c r="D88" s="57">
        <f t="shared" si="14"/>
        <v>33949.100000000006</v>
      </c>
      <c r="E88" s="57"/>
      <c r="F88" s="57">
        <f>-80800+114749.1</f>
        <v>33949.100000000006</v>
      </c>
      <c r="G88" s="57"/>
      <c r="H88" s="57"/>
    </row>
    <row r="89" spans="1:8" s="27" customFormat="1" ht="33">
      <c r="A89" s="209"/>
      <c r="B89" s="211"/>
      <c r="C89" s="56" t="s">
        <v>138</v>
      </c>
      <c r="D89" s="57">
        <f t="shared" ref="D89" si="31">SUM(E89:H89)</f>
        <v>10205.200000000001</v>
      </c>
      <c r="E89" s="57"/>
      <c r="F89" s="57">
        <f>-15495+25700.2</f>
        <v>10205.200000000001</v>
      </c>
      <c r="G89" s="57"/>
      <c r="H89" s="57"/>
    </row>
    <row r="90" spans="1:8" s="27" customFormat="1" ht="33">
      <c r="A90" s="209"/>
      <c r="B90" s="211"/>
      <c r="C90" s="56" t="s">
        <v>139</v>
      </c>
      <c r="D90" s="57">
        <f t="shared" si="14"/>
        <v>20660</v>
      </c>
      <c r="E90" s="57"/>
      <c r="F90" s="57">
        <f>-82640+103300</f>
        <v>20660</v>
      </c>
      <c r="G90" s="57"/>
      <c r="H90" s="57"/>
    </row>
    <row r="91" spans="1:8" s="27" customFormat="1" ht="49.5">
      <c r="A91" s="212"/>
      <c r="B91" s="213"/>
      <c r="C91" s="56" t="s">
        <v>140</v>
      </c>
      <c r="D91" s="57">
        <f t="shared" ref="D91" si="32">SUM(E91:H91)</f>
        <v>20540</v>
      </c>
      <c r="E91" s="57"/>
      <c r="F91" s="57">
        <v>20540</v>
      </c>
      <c r="G91" s="57"/>
      <c r="H91" s="57"/>
    </row>
    <row r="92" spans="1:8" s="23" customFormat="1" ht="17.25">
      <c r="A92" s="19"/>
      <c r="B92" s="46"/>
      <c r="C92" s="53" t="s">
        <v>105</v>
      </c>
      <c r="D92" s="54">
        <f t="shared" ref="D92:D95" si="33">SUM(E92:H92)</f>
        <v>-3265.8000000000029</v>
      </c>
      <c r="E92" s="54">
        <f>SUM(E93:E95)</f>
        <v>0</v>
      </c>
      <c r="F92" s="54">
        <f>SUM(F93:F95)</f>
        <v>-3265.8000000000029</v>
      </c>
      <c r="G92" s="54">
        <f t="shared" ref="G92:H92" si="34">SUM(G93:G95)</f>
        <v>0</v>
      </c>
      <c r="H92" s="54">
        <f t="shared" si="34"/>
        <v>0</v>
      </c>
    </row>
    <row r="93" spans="1:8" s="27" customFormat="1" ht="57.95" customHeight="1">
      <c r="A93" s="208"/>
      <c r="B93" s="210"/>
      <c r="C93" s="56" t="s">
        <v>141</v>
      </c>
      <c r="D93" s="57">
        <f t="shared" si="33"/>
        <v>-20523.5</v>
      </c>
      <c r="E93" s="57"/>
      <c r="F93" s="57">
        <f>-96019.9+75496.4</f>
        <v>-20523.5</v>
      </c>
      <c r="G93" s="57"/>
      <c r="H93" s="57"/>
    </row>
    <row r="94" spans="1:8" s="27" customFormat="1" ht="69.75" customHeight="1">
      <c r="A94" s="209"/>
      <c r="B94" s="211"/>
      <c r="C94" s="56" t="s">
        <v>142</v>
      </c>
      <c r="D94" s="57">
        <f t="shared" si="33"/>
        <v>-27301.200000000004</v>
      </c>
      <c r="E94" s="57"/>
      <c r="F94" s="57">
        <f>-67048.1+39746.9</f>
        <v>-27301.200000000004</v>
      </c>
      <c r="G94" s="57"/>
      <c r="H94" s="57"/>
    </row>
    <row r="95" spans="1:8" s="27" customFormat="1" ht="61.5" customHeight="1">
      <c r="A95" s="212"/>
      <c r="B95" s="213"/>
      <c r="C95" s="56" t="s">
        <v>143</v>
      </c>
      <c r="D95" s="57">
        <f t="shared" si="33"/>
        <v>44558.9</v>
      </c>
      <c r="E95" s="57"/>
      <c r="F95" s="57">
        <f>-20660+65218.9</f>
        <v>44558.9</v>
      </c>
      <c r="G95" s="57"/>
      <c r="H95" s="57"/>
    </row>
    <row r="96" spans="1:8" s="23" customFormat="1" ht="76.7" customHeight="1">
      <c r="A96" s="24"/>
      <c r="B96" s="64"/>
      <c r="C96" s="64" t="s">
        <v>144</v>
      </c>
      <c r="D96" s="65">
        <f>SUM(E96:H96)</f>
        <v>111218.4</v>
      </c>
      <c r="E96" s="69">
        <f>+E98+E99+E101+E107+E109+E111+E115+E117+E119</f>
        <v>0</v>
      </c>
      <c r="F96" s="65">
        <f t="shared" ref="F96:H96" si="35">+F98+F99+F101+F107+F109+F111+F115+F117+F119</f>
        <v>0</v>
      </c>
      <c r="G96" s="65">
        <f t="shared" si="35"/>
        <v>111218.4</v>
      </c>
      <c r="H96" s="65">
        <f t="shared" si="35"/>
        <v>0</v>
      </c>
    </row>
    <row r="97" spans="1:8" s="18" customFormat="1" ht="25.15" customHeight="1">
      <c r="A97" s="19"/>
      <c r="B97" s="46"/>
      <c r="C97" s="45" t="s">
        <v>114</v>
      </c>
      <c r="D97" s="43"/>
      <c r="E97" s="43"/>
      <c r="F97" s="43"/>
      <c r="G97" s="43"/>
      <c r="H97" s="43"/>
    </row>
    <row r="98" spans="1:8" s="23" customFormat="1" ht="99">
      <c r="A98" s="20"/>
      <c r="B98" s="50"/>
      <c r="C98" s="53" t="s">
        <v>145</v>
      </c>
      <c r="D98" s="70">
        <f>SUM(E98:H98)</f>
        <v>4400</v>
      </c>
      <c r="E98" s="71">
        <v>0</v>
      </c>
      <c r="F98" s="70">
        <v>0</v>
      </c>
      <c r="G98" s="70">
        <v>4400</v>
      </c>
      <c r="H98" s="70">
        <v>0</v>
      </c>
    </row>
    <row r="99" spans="1:8" s="23" customFormat="1" ht="17.25">
      <c r="A99" s="25"/>
      <c r="B99" s="66"/>
      <c r="C99" s="53" t="s">
        <v>97</v>
      </c>
      <c r="D99" s="54">
        <f t="shared" ref="D99:D121" si="36">SUM(E99:H99)</f>
        <v>30000</v>
      </c>
      <c r="E99" s="54">
        <f>SUM(E100:E100)</f>
        <v>0</v>
      </c>
      <c r="F99" s="54">
        <f>SUM(F100:F100)</f>
        <v>0</v>
      </c>
      <c r="G99" s="54">
        <f>SUM(G100:G100)</f>
        <v>30000</v>
      </c>
      <c r="H99" s="54">
        <f>SUM(H100:H100)</f>
        <v>0</v>
      </c>
    </row>
    <row r="100" spans="1:8" s="27" customFormat="1" ht="66">
      <c r="A100" s="26"/>
      <c r="B100" s="67"/>
      <c r="C100" s="56" t="s">
        <v>116</v>
      </c>
      <c r="D100" s="57">
        <f t="shared" si="36"/>
        <v>30000</v>
      </c>
      <c r="E100" s="57"/>
      <c r="F100" s="57"/>
      <c r="G100" s="57">
        <f>30000</f>
        <v>30000</v>
      </c>
      <c r="H100" s="57"/>
    </row>
    <row r="101" spans="1:8" s="27" customFormat="1" ht="21" customHeight="1">
      <c r="A101" s="20"/>
      <c r="B101" s="50"/>
      <c r="C101" s="53" t="s">
        <v>146</v>
      </c>
      <c r="D101" s="70">
        <f t="shared" si="36"/>
        <v>-7190</v>
      </c>
      <c r="E101" s="70">
        <f>SUM(E102:E106)</f>
        <v>0</v>
      </c>
      <c r="F101" s="70">
        <f t="shared" ref="F101:H101" si="37">SUM(F102:F106)</f>
        <v>0</v>
      </c>
      <c r="G101" s="70">
        <f t="shared" si="37"/>
        <v>-7190</v>
      </c>
      <c r="H101" s="70">
        <f t="shared" si="37"/>
        <v>0</v>
      </c>
    </row>
    <row r="102" spans="1:8" s="27" customFormat="1" ht="49.5">
      <c r="A102" s="214"/>
      <c r="B102" s="217"/>
      <c r="C102" s="56" t="s">
        <v>147</v>
      </c>
      <c r="D102" s="57">
        <f t="shared" si="36"/>
        <v>-16050</v>
      </c>
      <c r="E102" s="57"/>
      <c r="F102" s="57"/>
      <c r="G102" s="57">
        <v>-16050</v>
      </c>
      <c r="H102" s="57"/>
    </row>
    <row r="103" spans="1:8" s="27" customFormat="1" ht="33">
      <c r="A103" s="215"/>
      <c r="B103" s="218"/>
      <c r="C103" s="56" t="s">
        <v>148</v>
      </c>
      <c r="D103" s="57">
        <f t="shared" si="36"/>
        <v>-15000</v>
      </c>
      <c r="E103" s="57"/>
      <c r="F103" s="57"/>
      <c r="G103" s="57">
        <v>-15000</v>
      </c>
      <c r="H103" s="57"/>
    </row>
    <row r="104" spans="1:8" s="27" customFormat="1" ht="33">
      <c r="A104" s="215"/>
      <c r="B104" s="218"/>
      <c r="C104" s="56" t="s">
        <v>149</v>
      </c>
      <c r="D104" s="57">
        <f t="shared" si="36"/>
        <v>-1940</v>
      </c>
      <c r="E104" s="57"/>
      <c r="F104" s="57"/>
      <c r="G104" s="57">
        <f>-21200+19260</f>
        <v>-1940</v>
      </c>
      <c r="H104" s="57"/>
    </row>
    <row r="105" spans="1:8" s="27" customFormat="1">
      <c r="A105" s="215"/>
      <c r="B105" s="218"/>
      <c r="C105" s="56" t="s">
        <v>150</v>
      </c>
      <c r="D105" s="57">
        <f t="shared" si="36"/>
        <v>15000</v>
      </c>
      <c r="E105" s="57"/>
      <c r="F105" s="57"/>
      <c r="G105" s="57">
        <v>15000</v>
      </c>
      <c r="H105" s="57"/>
    </row>
    <row r="106" spans="1:8" s="27" customFormat="1" ht="49.5">
      <c r="A106" s="216"/>
      <c r="B106" s="219"/>
      <c r="C106" s="56" t="s">
        <v>151</v>
      </c>
      <c r="D106" s="57">
        <f t="shared" si="36"/>
        <v>10800</v>
      </c>
      <c r="E106" s="57"/>
      <c r="F106" s="57"/>
      <c r="G106" s="57">
        <v>10800</v>
      </c>
      <c r="H106" s="57"/>
    </row>
    <row r="107" spans="1:8" s="23" customFormat="1" ht="17.25">
      <c r="A107" s="20"/>
      <c r="B107" s="50"/>
      <c r="C107" s="53" t="s">
        <v>99</v>
      </c>
      <c r="D107" s="54">
        <f t="shared" si="36"/>
        <v>6540</v>
      </c>
      <c r="E107" s="54">
        <f>+E108</f>
        <v>0</v>
      </c>
      <c r="F107" s="54">
        <f t="shared" ref="F107:H109" si="38">+F108</f>
        <v>0</v>
      </c>
      <c r="G107" s="54">
        <f t="shared" si="38"/>
        <v>6540</v>
      </c>
      <c r="H107" s="54">
        <f t="shared" si="38"/>
        <v>0</v>
      </c>
    </row>
    <row r="108" spans="1:8" s="27" customFormat="1" ht="49.5">
      <c r="A108" s="29"/>
      <c r="B108" s="72"/>
      <c r="C108" s="56" t="s">
        <v>152</v>
      </c>
      <c r="D108" s="57">
        <f t="shared" si="36"/>
        <v>6540</v>
      </c>
      <c r="E108" s="57"/>
      <c r="F108" s="57"/>
      <c r="G108" s="57">
        <v>6540</v>
      </c>
      <c r="H108" s="57"/>
    </row>
    <row r="109" spans="1:8" s="23" customFormat="1" ht="17.25">
      <c r="A109" s="20"/>
      <c r="B109" s="50"/>
      <c r="C109" s="53" t="s">
        <v>109</v>
      </c>
      <c r="D109" s="54">
        <f t="shared" si="36"/>
        <v>26500</v>
      </c>
      <c r="E109" s="54">
        <f>+E110</f>
        <v>0</v>
      </c>
      <c r="F109" s="54">
        <f t="shared" si="38"/>
        <v>0</v>
      </c>
      <c r="G109" s="54">
        <f t="shared" si="38"/>
        <v>26500</v>
      </c>
      <c r="H109" s="54">
        <f t="shared" si="38"/>
        <v>0</v>
      </c>
    </row>
    <row r="110" spans="1:8" s="27" customFormat="1" ht="66">
      <c r="A110" s="29"/>
      <c r="B110" s="72"/>
      <c r="C110" s="56" t="s">
        <v>153</v>
      </c>
      <c r="D110" s="57">
        <f t="shared" si="36"/>
        <v>26500</v>
      </c>
      <c r="E110" s="57"/>
      <c r="F110" s="57"/>
      <c r="G110" s="57">
        <v>26500</v>
      </c>
      <c r="H110" s="57"/>
    </row>
    <row r="111" spans="1:8" s="23" customFormat="1" ht="17.25">
      <c r="A111" s="20"/>
      <c r="B111" s="50"/>
      <c r="C111" s="53" t="s">
        <v>125</v>
      </c>
      <c r="D111" s="54">
        <f t="shared" si="36"/>
        <v>15000</v>
      </c>
      <c r="E111" s="54">
        <f>SUM(E112:E114)</f>
        <v>0</v>
      </c>
      <c r="F111" s="54">
        <f t="shared" ref="F111:H111" si="39">SUM(F112:F114)</f>
        <v>0</v>
      </c>
      <c r="G111" s="54">
        <f t="shared" si="39"/>
        <v>15000</v>
      </c>
      <c r="H111" s="54">
        <f t="shared" si="39"/>
        <v>0</v>
      </c>
    </row>
    <row r="112" spans="1:8" s="27" customFormat="1" ht="17.25">
      <c r="A112" s="29"/>
      <c r="B112" s="72"/>
      <c r="C112" s="56" t="s">
        <v>154</v>
      </c>
      <c r="D112" s="57">
        <f t="shared" si="36"/>
        <v>15000</v>
      </c>
      <c r="E112" s="57"/>
      <c r="F112" s="57"/>
      <c r="G112" s="57">
        <v>15000</v>
      </c>
      <c r="H112" s="57"/>
    </row>
    <row r="113" spans="1:8" s="27" customFormat="1" ht="49.5">
      <c r="A113" s="29"/>
      <c r="B113" s="72"/>
      <c r="C113" s="56" t="s">
        <v>155</v>
      </c>
      <c r="D113" s="57">
        <f t="shared" si="36"/>
        <v>-10800</v>
      </c>
      <c r="E113" s="57"/>
      <c r="F113" s="57"/>
      <c r="G113" s="57">
        <v>-10800</v>
      </c>
      <c r="H113" s="57"/>
    </row>
    <row r="114" spans="1:8" s="27" customFormat="1" ht="33">
      <c r="A114" s="29"/>
      <c r="B114" s="72"/>
      <c r="C114" s="56" t="s">
        <v>156</v>
      </c>
      <c r="D114" s="57">
        <f t="shared" si="36"/>
        <v>10800</v>
      </c>
      <c r="E114" s="57"/>
      <c r="F114" s="57"/>
      <c r="G114" s="57">
        <v>10800</v>
      </c>
      <c r="H114" s="57"/>
    </row>
    <row r="115" spans="1:8" s="23" customFormat="1" ht="17.25">
      <c r="A115" s="20"/>
      <c r="B115" s="50"/>
      <c r="C115" s="53" t="s">
        <v>130</v>
      </c>
      <c r="D115" s="54">
        <f t="shared" si="36"/>
        <v>4092</v>
      </c>
      <c r="E115" s="54">
        <f>+E116</f>
        <v>0</v>
      </c>
      <c r="F115" s="54">
        <f t="shared" ref="F115:H117" si="40">+F116</f>
        <v>0</v>
      </c>
      <c r="G115" s="54">
        <f t="shared" si="40"/>
        <v>4092</v>
      </c>
      <c r="H115" s="54">
        <f t="shared" si="40"/>
        <v>0</v>
      </c>
    </row>
    <row r="116" spans="1:8" s="27" customFormat="1" ht="69.599999999999994" customHeight="1">
      <c r="A116" s="21"/>
      <c r="B116" s="55"/>
      <c r="C116" s="56" t="s">
        <v>157</v>
      </c>
      <c r="D116" s="57">
        <f t="shared" si="36"/>
        <v>4092</v>
      </c>
      <c r="E116" s="57"/>
      <c r="F116" s="57"/>
      <c r="G116" s="57">
        <v>4092</v>
      </c>
      <c r="H116" s="57"/>
    </row>
    <row r="117" spans="1:8" s="23" customFormat="1" ht="17.25">
      <c r="A117" s="20"/>
      <c r="B117" s="50"/>
      <c r="C117" s="53" t="s">
        <v>103</v>
      </c>
      <c r="D117" s="54">
        <f t="shared" si="36"/>
        <v>16200</v>
      </c>
      <c r="E117" s="54">
        <f>+E118</f>
        <v>0</v>
      </c>
      <c r="F117" s="54">
        <f t="shared" si="40"/>
        <v>0</v>
      </c>
      <c r="G117" s="54">
        <f t="shared" si="40"/>
        <v>16200</v>
      </c>
      <c r="H117" s="54">
        <f t="shared" si="40"/>
        <v>0</v>
      </c>
    </row>
    <row r="118" spans="1:8" s="27" customFormat="1" ht="90" customHeight="1">
      <c r="A118" s="21"/>
      <c r="B118" s="55"/>
      <c r="C118" s="56" t="s">
        <v>158</v>
      </c>
      <c r="D118" s="57">
        <f t="shared" si="36"/>
        <v>16200</v>
      </c>
      <c r="E118" s="57"/>
      <c r="F118" s="57"/>
      <c r="G118" s="57">
        <v>16200</v>
      </c>
      <c r="H118" s="57"/>
    </row>
    <row r="119" spans="1:8" s="23" customFormat="1" ht="17.25">
      <c r="A119" s="20"/>
      <c r="B119" s="50"/>
      <c r="C119" s="53" t="s">
        <v>134</v>
      </c>
      <c r="D119" s="54">
        <f t="shared" si="36"/>
        <v>15676.400000000001</v>
      </c>
      <c r="E119" s="54">
        <f>SUM(E120:E121)</f>
        <v>0</v>
      </c>
      <c r="F119" s="54">
        <f t="shared" ref="F119:H119" si="41">SUM(F120:F121)</f>
        <v>0</v>
      </c>
      <c r="G119" s="54">
        <f t="shared" si="41"/>
        <v>15676.400000000001</v>
      </c>
      <c r="H119" s="54">
        <f t="shared" si="41"/>
        <v>0</v>
      </c>
    </row>
    <row r="120" spans="1:8" s="27" customFormat="1" ht="33">
      <c r="A120" s="214"/>
      <c r="B120" s="217"/>
      <c r="C120" s="56" t="s">
        <v>159</v>
      </c>
      <c r="D120" s="57">
        <f t="shared" si="36"/>
        <v>-4400</v>
      </c>
      <c r="E120" s="57"/>
      <c r="F120" s="57"/>
      <c r="G120" s="57">
        <v>-4400</v>
      </c>
      <c r="H120" s="57"/>
    </row>
    <row r="121" spans="1:8" s="27" customFormat="1" ht="75.599999999999994" customHeight="1">
      <c r="A121" s="216"/>
      <c r="B121" s="219"/>
      <c r="C121" s="56" t="s">
        <v>160</v>
      </c>
      <c r="D121" s="57">
        <f t="shared" si="36"/>
        <v>20076.400000000001</v>
      </c>
      <c r="E121" s="57"/>
      <c r="F121" s="57"/>
      <c r="G121" s="57">
        <v>20076.400000000001</v>
      </c>
      <c r="H121" s="57"/>
    </row>
    <row r="122" spans="1:8" s="18" customFormat="1" ht="31.7" customHeight="1">
      <c r="A122" s="19">
        <v>1163</v>
      </c>
      <c r="B122" s="46">
        <v>32001</v>
      </c>
      <c r="C122" s="49" t="s">
        <v>161</v>
      </c>
      <c r="D122" s="43">
        <f>SUM(E122:H122)</f>
        <v>0</v>
      </c>
      <c r="E122" s="43">
        <f>+E124+E127+E129+E131+E133+E135</f>
        <v>0</v>
      </c>
      <c r="F122" s="43">
        <f t="shared" ref="F122:H122" si="42">+F124+F127+F129+F131+F133+F135</f>
        <v>0</v>
      </c>
      <c r="G122" s="43">
        <f t="shared" si="42"/>
        <v>0</v>
      </c>
      <c r="H122" s="43">
        <f t="shared" si="42"/>
        <v>0</v>
      </c>
    </row>
    <row r="123" spans="1:8" s="18" customFormat="1" ht="17.25">
      <c r="A123" s="22"/>
      <c r="B123" s="60"/>
      <c r="C123" s="61" t="s">
        <v>32</v>
      </c>
      <c r="D123" s="52"/>
      <c r="E123" s="73"/>
      <c r="F123" s="73"/>
      <c r="G123" s="50"/>
      <c r="H123" s="50"/>
    </row>
    <row r="124" spans="1:8" s="23" customFormat="1" ht="17.25">
      <c r="A124" s="20"/>
      <c r="B124" s="50"/>
      <c r="C124" s="53" t="s">
        <v>97</v>
      </c>
      <c r="D124" s="54">
        <f t="shared" ref="D124:D125" si="43">SUM(E124:H124)</f>
        <v>110000</v>
      </c>
      <c r="E124" s="54">
        <f>SUM(E125:E126)</f>
        <v>110000</v>
      </c>
      <c r="F124" s="54">
        <f t="shared" ref="F124:H124" si="44">SUM(F125:F126)</f>
        <v>0</v>
      </c>
      <c r="G124" s="54">
        <f t="shared" si="44"/>
        <v>0</v>
      </c>
      <c r="H124" s="54">
        <f t="shared" si="44"/>
        <v>0</v>
      </c>
    </row>
    <row r="125" spans="1:8" s="27" customFormat="1" ht="17.25">
      <c r="A125" s="21"/>
      <c r="B125" s="55"/>
      <c r="C125" s="56" t="s">
        <v>162</v>
      </c>
      <c r="D125" s="57">
        <f t="shared" si="43"/>
        <v>-2000</v>
      </c>
      <c r="E125" s="57">
        <f>-2000</f>
        <v>-2000</v>
      </c>
      <c r="F125" s="57"/>
      <c r="G125" s="57"/>
      <c r="H125" s="57"/>
    </row>
    <row r="126" spans="1:8" s="27" customFormat="1" ht="66">
      <c r="A126" s="21"/>
      <c r="B126" s="55"/>
      <c r="C126" s="56" t="s">
        <v>163</v>
      </c>
      <c r="D126" s="57">
        <f t="shared" ref="D126:D136" si="45">SUM(E126:H126)</f>
        <v>112000</v>
      </c>
      <c r="E126" s="57">
        <v>112000</v>
      </c>
      <c r="F126" s="57"/>
      <c r="G126" s="57"/>
      <c r="H126" s="57"/>
    </row>
    <row r="127" spans="1:8" s="23" customFormat="1" ht="24" customHeight="1">
      <c r="A127" s="22"/>
      <c r="B127" s="60"/>
      <c r="C127" s="53" t="s">
        <v>146</v>
      </c>
      <c r="D127" s="54">
        <f t="shared" si="45"/>
        <v>-200000</v>
      </c>
      <c r="E127" s="54">
        <f>+E128</f>
        <v>-200000</v>
      </c>
      <c r="F127" s="54">
        <f t="shared" ref="F127:H135" si="46">+F128</f>
        <v>0</v>
      </c>
      <c r="G127" s="54">
        <f t="shared" si="46"/>
        <v>0</v>
      </c>
      <c r="H127" s="54">
        <f t="shared" si="46"/>
        <v>0</v>
      </c>
    </row>
    <row r="128" spans="1:8" s="27" customFormat="1" ht="17.25">
      <c r="A128" s="21"/>
      <c r="B128" s="55"/>
      <c r="C128" s="56" t="s">
        <v>164</v>
      </c>
      <c r="D128" s="57">
        <f t="shared" si="45"/>
        <v>-200000</v>
      </c>
      <c r="E128" s="57">
        <v>-200000</v>
      </c>
      <c r="F128" s="57"/>
      <c r="G128" s="57"/>
      <c r="H128" s="57"/>
    </row>
    <row r="129" spans="1:8" s="23" customFormat="1" ht="24" customHeight="1">
      <c r="A129" s="22"/>
      <c r="B129" s="60"/>
      <c r="C129" s="53" t="s">
        <v>99</v>
      </c>
      <c r="D129" s="54">
        <f t="shared" si="45"/>
        <v>30000</v>
      </c>
      <c r="E129" s="54">
        <f>+E130</f>
        <v>30000</v>
      </c>
      <c r="F129" s="54">
        <f t="shared" si="46"/>
        <v>0</v>
      </c>
      <c r="G129" s="54">
        <f t="shared" si="46"/>
        <v>0</v>
      </c>
      <c r="H129" s="54">
        <f t="shared" si="46"/>
        <v>0</v>
      </c>
    </row>
    <row r="130" spans="1:8" s="27" customFormat="1" ht="17.25">
      <c r="A130" s="21"/>
      <c r="B130" s="55"/>
      <c r="C130" s="56" t="s">
        <v>165</v>
      </c>
      <c r="D130" s="57">
        <f t="shared" si="45"/>
        <v>30000</v>
      </c>
      <c r="E130" s="57">
        <v>30000</v>
      </c>
      <c r="F130" s="57"/>
      <c r="G130" s="57"/>
      <c r="H130" s="57"/>
    </row>
    <row r="131" spans="1:8" s="23" customFormat="1" ht="24" customHeight="1">
      <c r="A131" s="22"/>
      <c r="B131" s="60"/>
      <c r="C131" s="53" t="s">
        <v>109</v>
      </c>
      <c r="D131" s="54">
        <f t="shared" si="45"/>
        <v>-200000</v>
      </c>
      <c r="E131" s="54">
        <f>+E132</f>
        <v>-200000</v>
      </c>
      <c r="F131" s="54">
        <f t="shared" si="46"/>
        <v>0</v>
      </c>
      <c r="G131" s="54">
        <f t="shared" si="46"/>
        <v>0</v>
      </c>
      <c r="H131" s="54">
        <f t="shared" si="46"/>
        <v>0</v>
      </c>
    </row>
    <row r="132" spans="1:8" s="27" customFormat="1" ht="17.25">
      <c r="A132" s="21"/>
      <c r="B132" s="55"/>
      <c r="C132" s="56" t="s">
        <v>166</v>
      </c>
      <c r="D132" s="57">
        <f t="shared" si="45"/>
        <v>-200000</v>
      </c>
      <c r="E132" s="57">
        <v>-200000</v>
      </c>
      <c r="F132" s="57"/>
      <c r="G132" s="57"/>
      <c r="H132" s="57"/>
    </row>
    <row r="133" spans="1:8" s="23" customFormat="1" ht="24" customHeight="1">
      <c r="A133" s="22"/>
      <c r="B133" s="60"/>
      <c r="C133" s="53" t="s">
        <v>101</v>
      </c>
      <c r="D133" s="54">
        <f t="shared" si="45"/>
        <v>230000</v>
      </c>
      <c r="E133" s="54">
        <f>SUM(E134:E134)</f>
        <v>230000</v>
      </c>
      <c r="F133" s="54">
        <f>SUM(F134:F134)</f>
        <v>0</v>
      </c>
      <c r="G133" s="54">
        <f>SUM(G134:G134)</f>
        <v>0</v>
      </c>
      <c r="H133" s="54">
        <f>SUM(H134:H134)</f>
        <v>0</v>
      </c>
    </row>
    <row r="134" spans="1:8" s="27" customFormat="1" ht="17.25">
      <c r="A134" s="21"/>
      <c r="B134" s="55"/>
      <c r="C134" s="56" t="s">
        <v>167</v>
      </c>
      <c r="D134" s="57">
        <f t="shared" si="45"/>
        <v>230000</v>
      </c>
      <c r="E134" s="57">
        <v>230000</v>
      </c>
      <c r="F134" s="57"/>
      <c r="G134" s="57"/>
      <c r="H134" s="57"/>
    </row>
    <row r="135" spans="1:8" s="23" customFormat="1" ht="24" customHeight="1">
      <c r="A135" s="22"/>
      <c r="B135" s="60"/>
      <c r="C135" s="53" t="s">
        <v>136</v>
      </c>
      <c r="D135" s="54">
        <f t="shared" si="45"/>
        <v>30000</v>
      </c>
      <c r="E135" s="54">
        <f>+E136</f>
        <v>30000</v>
      </c>
      <c r="F135" s="54">
        <f t="shared" si="46"/>
        <v>0</v>
      </c>
      <c r="G135" s="54">
        <f t="shared" si="46"/>
        <v>0</v>
      </c>
      <c r="H135" s="54">
        <f t="shared" si="46"/>
        <v>0</v>
      </c>
    </row>
    <row r="136" spans="1:8" s="27" customFormat="1" ht="17.25">
      <c r="A136" s="21"/>
      <c r="B136" s="55"/>
      <c r="C136" s="56" t="s">
        <v>168</v>
      </c>
      <c r="D136" s="57">
        <f t="shared" si="45"/>
        <v>30000</v>
      </c>
      <c r="E136" s="57">
        <v>30000</v>
      </c>
      <c r="F136" s="57"/>
      <c r="G136" s="57"/>
      <c r="H136" s="57"/>
    </row>
    <row r="137" spans="1:8" s="27" customFormat="1" ht="49.5">
      <c r="A137" s="19">
        <v>1163</v>
      </c>
      <c r="B137" s="46">
        <v>32006</v>
      </c>
      <c r="C137" s="49" t="s">
        <v>169</v>
      </c>
      <c r="D137" s="43">
        <f>+E137+F137+G137+H137</f>
        <v>0</v>
      </c>
      <c r="E137" s="43">
        <f>+E139</f>
        <v>-225879</v>
      </c>
      <c r="F137" s="74">
        <f t="shared" ref="F137:H137" si="47">+F139</f>
        <v>0</v>
      </c>
      <c r="G137" s="43">
        <f t="shared" si="47"/>
        <v>225879</v>
      </c>
      <c r="H137" s="43">
        <f t="shared" si="47"/>
        <v>0</v>
      </c>
    </row>
    <row r="138" spans="1:8" s="27" customFormat="1" ht="17.25">
      <c r="A138" s="22"/>
      <c r="B138" s="60"/>
      <c r="C138" s="61" t="s">
        <v>32</v>
      </c>
      <c r="D138" s="50"/>
      <c r="E138" s="50"/>
      <c r="F138" s="75"/>
      <c r="G138" s="50"/>
      <c r="H138" s="50"/>
    </row>
    <row r="139" spans="1:8" s="27" customFormat="1" ht="17.25">
      <c r="A139" s="20"/>
      <c r="B139" s="50"/>
      <c r="C139" s="53" t="s">
        <v>125</v>
      </c>
      <c r="D139" s="70">
        <f t="shared" ref="D139:D140" si="48">SUM(E139:H139)</f>
        <v>0</v>
      </c>
      <c r="E139" s="70">
        <f>+E140</f>
        <v>-225879</v>
      </c>
      <c r="F139" s="76">
        <f t="shared" ref="F139:H139" si="49">+F140</f>
        <v>0</v>
      </c>
      <c r="G139" s="70">
        <f t="shared" si="49"/>
        <v>225879</v>
      </c>
      <c r="H139" s="70">
        <f t="shared" si="49"/>
        <v>0</v>
      </c>
    </row>
    <row r="140" spans="1:8" s="27" customFormat="1" ht="33">
      <c r="A140" s="20"/>
      <c r="B140" s="50"/>
      <c r="C140" s="56" t="s">
        <v>170</v>
      </c>
      <c r="D140" s="57">
        <f t="shared" si="48"/>
        <v>0</v>
      </c>
      <c r="E140" s="77">
        <f>-225879</f>
        <v>-225879</v>
      </c>
      <c r="F140" s="78"/>
      <c r="G140" s="57">
        <v>225879</v>
      </c>
      <c r="H140" s="57"/>
    </row>
    <row r="141" spans="1:8" s="18" customFormat="1" ht="69" customHeight="1">
      <c r="A141" s="19">
        <v>1183</v>
      </c>
      <c r="B141" s="46">
        <v>32007</v>
      </c>
      <c r="C141" s="49" t="s">
        <v>74</v>
      </c>
      <c r="D141" s="43">
        <f>SUM(E141:H141)</f>
        <v>5046.1000000000004</v>
      </c>
      <c r="E141" s="43">
        <f>+E143</f>
        <v>5046.1000000000004</v>
      </c>
      <c r="F141" s="43">
        <f t="shared" ref="F141:H141" si="50">+F143</f>
        <v>0</v>
      </c>
      <c r="G141" s="43">
        <f t="shared" si="50"/>
        <v>0</v>
      </c>
      <c r="H141" s="43">
        <f t="shared" si="50"/>
        <v>0</v>
      </c>
    </row>
    <row r="142" spans="1:8" s="18" customFormat="1" ht="17.25">
      <c r="A142" s="22"/>
      <c r="B142" s="60"/>
      <c r="C142" s="61" t="s">
        <v>32</v>
      </c>
      <c r="D142" s="79"/>
      <c r="E142" s="79"/>
      <c r="F142" s="79"/>
      <c r="G142" s="79"/>
      <c r="H142" s="79"/>
    </row>
    <row r="143" spans="1:8" s="23" customFormat="1" ht="25.5" customHeight="1">
      <c r="A143" s="20"/>
      <c r="B143" s="50"/>
      <c r="C143" s="53" t="s">
        <v>130</v>
      </c>
      <c r="D143" s="70">
        <f>SUM(E143:H143)</f>
        <v>5046.1000000000004</v>
      </c>
      <c r="E143" s="70">
        <f>+E144</f>
        <v>5046.1000000000004</v>
      </c>
      <c r="F143" s="70">
        <f t="shared" ref="F143:H143" si="51">+F144</f>
        <v>0</v>
      </c>
      <c r="G143" s="70">
        <f t="shared" si="51"/>
        <v>0</v>
      </c>
      <c r="H143" s="70">
        <f t="shared" si="51"/>
        <v>0</v>
      </c>
    </row>
    <row r="144" spans="1:8" s="27" customFormat="1" ht="54" customHeight="1">
      <c r="A144" s="30"/>
      <c r="B144" s="80"/>
      <c r="C144" s="81" t="s">
        <v>171</v>
      </c>
      <c r="D144" s="57">
        <f>+E144+F144+G144+H144</f>
        <v>5046.1000000000004</v>
      </c>
      <c r="E144" s="57">
        <f>5000+18+28.1</f>
        <v>5046.1000000000004</v>
      </c>
      <c r="F144" s="57"/>
      <c r="G144" s="57"/>
      <c r="H144" s="58"/>
    </row>
    <row r="145" spans="1:8" s="18" customFormat="1" ht="69" customHeight="1">
      <c r="A145" s="19">
        <v>1196</v>
      </c>
      <c r="B145" s="82">
        <v>12001</v>
      </c>
      <c r="C145" s="83" t="s">
        <v>172</v>
      </c>
      <c r="D145" s="43">
        <f>SUM(E145:H145)</f>
        <v>37583.5</v>
      </c>
      <c r="E145" s="43">
        <f>+E147</f>
        <v>0</v>
      </c>
      <c r="F145" s="43">
        <f t="shared" ref="F145:H145" si="52">+F147</f>
        <v>37583.5</v>
      </c>
      <c r="G145" s="43">
        <f t="shared" si="52"/>
        <v>0</v>
      </c>
      <c r="H145" s="43">
        <f t="shared" si="52"/>
        <v>0</v>
      </c>
    </row>
    <row r="146" spans="1:8" s="18" customFormat="1" ht="17.25">
      <c r="A146" s="22"/>
      <c r="B146" s="60"/>
      <c r="C146" s="61" t="s">
        <v>32</v>
      </c>
      <c r="D146" s="79"/>
      <c r="E146" s="79"/>
      <c r="F146" s="79"/>
      <c r="G146" s="79"/>
      <c r="H146" s="79"/>
    </row>
    <row r="147" spans="1:8" s="23" customFormat="1" ht="25.5" customHeight="1">
      <c r="A147" s="20"/>
      <c r="B147" s="50"/>
      <c r="C147" s="84" t="s">
        <v>103</v>
      </c>
      <c r="D147" s="70">
        <f>SUM(E147:H147)</f>
        <v>37583.5</v>
      </c>
      <c r="E147" s="70">
        <f>+E148</f>
        <v>0</v>
      </c>
      <c r="F147" s="70">
        <f t="shared" ref="F147:H147" si="53">+F148</f>
        <v>37583.5</v>
      </c>
      <c r="G147" s="70">
        <f t="shared" si="53"/>
        <v>0</v>
      </c>
      <c r="H147" s="70">
        <f t="shared" si="53"/>
        <v>0</v>
      </c>
    </row>
    <row r="148" spans="1:8" s="27" customFormat="1" ht="54" customHeight="1">
      <c r="A148" s="30"/>
      <c r="B148" s="80"/>
      <c r="C148" s="81" t="s">
        <v>173</v>
      </c>
      <c r="D148" s="57">
        <f>+E148+F148+G148+H148</f>
        <v>37583.5</v>
      </c>
      <c r="E148" s="57"/>
      <c r="F148" s="57">
        <f>36400+883.4+300.1</f>
        <v>37583.5</v>
      </c>
      <c r="G148" s="57"/>
      <c r="H148" s="58"/>
    </row>
    <row r="149" spans="1:8" s="18" customFormat="1" ht="46.5" customHeight="1">
      <c r="A149" s="19">
        <v>1236</v>
      </c>
      <c r="B149" s="46">
        <v>32001</v>
      </c>
      <c r="C149" s="49" t="s">
        <v>174</v>
      </c>
      <c r="D149" s="47">
        <f>SUM(E149:H149)</f>
        <v>-5.8207660913467407E-11</v>
      </c>
      <c r="E149" s="47">
        <f>+E151+E152+E157+E159+E161+E163+E165+E171</f>
        <v>-5.8207660913467407E-11</v>
      </c>
      <c r="F149" s="47">
        <f t="shared" ref="F149:H149" si="54">+F151+F152+F157+F159+F161+F163+F165+F171</f>
        <v>0</v>
      </c>
      <c r="G149" s="47">
        <f t="shared" si="54"/>
        <v>0</v>
      </c>
      <c r="H149" s="47">
        <f t="shared" si="54"/>
        <v>0</v>
      </c>
    </row>
    <row r="150" spans="1:8" s="18" customFormat="1" ht="17.25">
      <c r="A150" s="22"/>
      <c r="B150" s="60"/>
      <c r="C150" s="61" t="s">
        <v>32</v>
      </c>
      <c r="D150" s="85"/>
      <c r="E150" s="50"/>
      <c r="F150" s="86"/>
      <c r="G150" s="50"/>
      <c r="H150" s="50"/>
    </row>
    <row r="151" spans="1:8" s="27" customFormat="1" ht="35.25" customHeight="1">
      <c r="A151" s="20"/>
      <c r="B151" s="50"/>
      <c r="C151" s="53" t="s">
        <v>174</v>
      </c>
      <c r="D151" s="70">
        <f>SUM(E151:H151)</f>
        <v>50489.2</v>
      </c>
      <c r="E151" s="70">
        <f>50489.2-53757.7+53757.7</f>
        <v>50489.2</v>
      </c>
      <c r="F151" s="70">
        <v>0</v>
      </c>
      <c r="G151" s="70">
        <v>0</v>
      </c>
      <c r="H151" s="70">
        <v>0</v>
      </c>
    </row>
    <row r="152" spans="1:8" s="27" customFormat="1" ht="27" customHeight="1">
      <c r="A152" s="20"/>
      <c r="B152" s="50"/>
      <c r="C152" s="53" t="s">
        <v>146</v>
      </c>
      <c r="D152" s="70">
        <f>SUM(E152:H152)</f>
        <v>75599.7</v>
      </c>
      <c r="E152" s="70">
        <f>SUM(E153:E156)</f>
        <v>75599.7</v>
      </c>
      <c r="F152" s="70">
        <f t="shared" ref="F152:H152" si="55">SUM(F153:F156)</f>
        <v>0</v>
      </c>
      <c r="G152" s="70">
        <f t="shared" si="55"/>
        <v>0</v>
      </c>
      <c r="H152" s="70">
        <f t="shared" si="55"/>
        <v>0</v>
      </c>
    </row>
    <row r="153" spans="1:8" s="27" customFormat="1" ht="59.25" customHeight="1">
      <c r="A153" s="214"/>
      <c r="B153" s="217"/>
      <c r="C153" s="56" t="s">
        <v>175</v>
      </c>
      <c r="D153" s="57">
        <f>+E153+F153+G153+H153</f>
        <v>152968.4</v>
      </c>
      <c r="E153" s="57">
        <f>253778.9-100810.5</f>
        <v>152968.4</v>
      </c>
      <c r="F153" s="57"/>
      <c r="G153" s="57"/>
      <c r="H153" s="57"/>
    </row>
    <row r="154" spans="1:8" s="27" customFormat="1" ht="59.25" customHeight="1">
      <c r="A154" s="215"/>
      <c r="B154" s="218"/>
      <c r="C154" s="56" t="s">
        <v>176</v>
      </c>
      <c r="D154" s="57">
        <f t="shared" ref="D154:D156" si="56">+E154+F154+G154+H154</f>
        <v>-26206.399999999994</v>
      </c>
      <c r="E154" s="57">
        <f>75628.1-101834.5</f>
        <v>-26206.399999999994</v>
      </c>
      <c r="F154" s="57"/>
      <c r="G154" s="57"/>
      <c r="H154" s="57"/>
    </row>
    <row r="155" spans="1:8" s="27" customFormat="1" ht="33">
      <c r="A155" s="215"/>
      <c r="B155" s="218"/>
      <c r="C155" s="56" t="s">
        <v>177</v>
      </c>
      <c r="D155" s="57">
        <f t="shared" si="56"/>
        <v>-111162.3</v>
      </c>
      <c r="E155" s="57">
        <v>-111162.3</v>
      </c>
      <c r="F155" s="57"/>
      <c r="G155" s="57"/>
      <c r="H155" s="57"/>
    </row>
    <row r="156" spans="1:8" s="27" customFormat="1" ht="57.75" customHeight="1">
      <c r="A156" s="216"/>
      <c r="B156" s="219"/>
      <c r="C156" s="56" t="s">
        <v>178</v>
      </c>
      <c r="D156" s="57">
        <f t="shared" si="56"/>
        <v>60000</v>
      </c>
      <c r="E156" s="57">
        <f>161714.4-101714.4</f>
        <v>60000</v>
      </c>
      <c r="F156" s="57"/>
      <c r="G156" s="57"/>
      <c r="H156" s="57"/>
    </row>
    <row r="157" spans="1:8" s="27" customFormat="1" ht="27" customHeight="1">
      <c r="A157" s="20"/>
      <c r="B157" s="50"/>
      <c r="C157" s="53" t="s">
        <v>109</v>
      </c>
      <c r="D157" s="70">
        <f>SUM(E157:H157)</f>
        <v>48062</v>
      </c>
      <c r="E157" s="70">
        <f>SUM(E158:E158)</f>
        <v>48062</v>
      </c>
      <c r="F157" s="70">
        <f>SUM(F158:F158)</f>
        <v>0</v>
      </c>
      <c r="G157" s="70">
        <f>SUM(G158:G158)</f>
        <v>0</v>
      </c>
      <c r="H157" s="70">
        <f>SUM(H158:H158)</f>
        <v>0</v>
      </c>
    </row>
    <row r="158" spans="1:8" s="27" customFormat="1" ht="17.25">
      <c r="A158" s="29"/>
      <c r="B158" s="72"/>
      <c r="C158" s="56" t="s">
        <v>179</v>
      </c>
      <c r="D158" s="57">
        <f>+E158+F158+G158+H158</f>
        <v>48062</v>
      </c>
      <c r="E158" s="57">
        <v>48062</v>
      </c>
      <c r="F158" s="57"/>
      <c r="G158" s="57"/>
      <c r="H158" s="57"/>
    </row>
    <row r="159" spans="1:8" s="27" customFormat="1" ht="27" customHeight="1">
      <c r="A159" s="20"/>
      <c r="B159" s="50"/>
      <c r="C159" s="87" t="s">
        <v>101</v>
      </c>
      <c r="D159" s="70">
        <f>SUM(E159:H159)</f>
        <v>19306.7</v>
      </c>
      <c r="E159" s="70">
        <f>+E160</f>
        <v>19306.7</v>
      </c>
      <c r="F159" s="70">
        <f t="shared" ref="F159:H159" si="57">+F160</f>
        <v>0</v>
      </c>
      <c r="G159" s="70">
        <f t="shared" si="57"/>
        <v>0</v>
      </c>
      <c r="H159" s="70">
        <f t="shared" si="57"/>
        <v>0</v>
      </c>
    </row>
    <row r="160" spans="1:8" s="27" customFormat="1" ht="33">
      <c r="A160" s="21"/>
      <c r="B160" s="55"/>
      <c r="C160" s="88" t="s">
        <v>180</v>
      </c>
      <c r="D160" s="57">
        <f>+E160+F160+G160+H160</f>
        <v>19306.7</v>
      </c>
      <c r="E160" s="57">
        <v>19306.7</v>
      </c>
      <c r="F160" s="57"/>
      <c r="G160" s="57"/>
      <c r="H160" s="57"/>
    </row>
    <row r="161" spans="1:8" s="27" customFormat="1" ht="27" customHeight="1">
      <c r="A161" s="20"/>
      <c r="B161" s="50"/>
      <c r="C161" s="87" t="s">
        <v>125</v>
      </c>
      <c r="D161" s="70">
        <f>SUM(E161:H161)</f>
        <v>58426.5</v>
      </c>
      <c r="E161" s="70">
        <f>+E162</f>
        <v>58426.5</v>
      </c>
      <c r="F161" s="70">
        <f t="shared" ref="F161:H161" si="58">+F162</f>
        <v>0</v>
      </c>
      <c r="G161" s="70">
        <f t="shared" si="58"/>
        <v>0</v>
      </c>
      <c r="H161" s="70">
        <f t="shared" si="58"/>
        <v>0</v>
      </c>
    </row>
    <row r="162" spans="1:8" s="27" customFormat="1" ht="56.45" customHeight="1">
      <c r="A162" s="21"/>
      <c r="B162" s="55"/>
      <c r="C162" s="56" t="s">
        <v>181</v>
      </c>
      <c r="D162" s="57">
        <f>+E162+F162+G162+H162</f>
        <v>58426.5</v>
      </c>
      <c r="E162" s="57">
        <f>455455-397028.5</f>
        <v>58426.5</v>
      </c>
      <c r="F162" s="57"/>
      <c r="G162" s="57"/>
      <c r="H162" s="57"/>
    </row>
    <row r="163" spans="1:8" s="27" customFormat="1" ht="17.25">
      <c r="A163" s="20"/>
      <c r="B163" s="50"/>
      <c r="C163" s="53" t="s">
        <v>130</v>
      </c>
      <c r="D163" s="70">
        <f>SUM(E163:H163)</f>
        <v>26903</v>
      </c>
      <c r="E163" s="70">
        <f>+E164</f>
        <v>26903</v>
      </c>
      <c r="F163" s="70">
        <f t="shared" ref="F163:G163" si="59">+F164</f>
        <v>0</v>
      </c>
      <c r="G163" s="70">
        <f t="shared" si="59"/>
        <v>0</v>
      </c>
      <c r="H163" s="70">
        <f>+H164</f>
        <v>0</v>
      </c>
    </row>
    <row r="164" spans="1:8" s="27" customFormat="1" ht="17.25">
      <c r="A164" s="21"/>
      <c r="B164" s="55"/>
      <c r="C164" s="56" t="s">
        <v>182</v>
      </c>
      <c r="D164" s="57">
        <f>+E164+F164+G164+H164</f>
        <v>26903</v>
      </c>
      <c r="E164" s="57">
        <f>-100000+126903</f>
        <v>26903</v>
      </c>
      <c r="F164" s="57"/>
      <c r="G164" s="57"/>
      <c r="H164" s="57"/>
    </row>
    <row r="165" spans="1:8" s="27" customFormat="1" ht="28.35" customHeight="1">
      <c r="A165" s="20"/>
      <c r="B165" s="50"/>
      <c r="C165" s="53" t="s">
        <v>103</v>
      </c>
      <c r="D165" s="70">
        <f>SUM(E165:H165)</f>
        <v>-279711.10000000003</v>
      </c>
      <c r="E165" s="70">
        <f>SUM(E166:E170)</f>
        <v>-279711.10000000003</v>
      </c>
      <c r="F165" s="70">
        <f>SUM(F168:F170)</f>
        <v>0</v>
      </c>
      <c r="G165" s="70">
        <f>SUM(G168:G170)</f>
        <v>0</v>
      </c>
      <c r="H165" s="70">
        <f>SUM(H168:H170)</f>
        <v>0</v>
      </c>
    </row>
    <row r="166" spans="1:8" s="27" customFormat="1" ht="59.65" customHeight="1">
      <c r="A166" s="31"/>
      <c r="B166" s="89"/>
      <c r="C166" s="56" t="s">
        <v>183</v>
      </c>
      <c r="D166" s="57">
        <f t="shared" ref="D166:D170" si="60">+E166+F166+G166+H166</f>
        <v>-66666.400000000023</v>
      </c>
      <c r="E166" s="57">
        <f>355445.8-422112.2</f>
        <v>-66666.400000000023</v>
      </c>
      <c r="F166" s="57"/>
      <c r="G166" s="57"/>
      <c r="H166" s="57"/>
    </row>
    <row r="167" spans="1:8" s="27" customFormat="1" ht="59.65" customHeight="1">
      <c r="A167" s="31"/>
      <c r="B167" s="89"/>
      <c r="C167" s="56" t="s">
        <v>184</v>
      </c>
      <c r="D167" s="57">
        <f t="shared" si="60"/>
        <v>-67359.799999999988</v>
      </c>
      <c r="E167" s="57">
        <f>359142.4-426502.2</f>
        <v>-67359.799999999988</v>
      </c>
      <c r="F167" s="57"/>
      <c r="G167" s="57"/>
      <c r="H167" s="57"/>
    </row>
    <row r="168" spans="1:8" s="27" customFormat="1">
      <c r="A168" s="215"/>
      <c r="B168" s="218"/>
      <c r="C168" s="56" t="s">
        <v>185</v>
      </c>
      <c r="D168" s="57">
        <f t="shared" si="60"/>
        <v>-82083.899999999994</v>
      </c>
      <c r="E168" s="57">
        <f>-150000+67916.1</f>
        <v>-82083.899999999994</v>
      </c>
      <c r="F168" s="57"/>
      <c r="G168" s="57"/>
      <c r="H168" s="57"/>
    </row>
    <row r="169" spans="1:8" s="27" customFormat="1">
      <c r="A169" s="215"/>
      <c r="B169" s="218"/>
      <c r="C169" s="56" t="s">
        <v>186</v>
      </c>
      <c r="D169" s="57">
        <f t="shared" si="60"/>
        <v>-81909.700000000012</v>
      </c>
      <c r="E169" s="57">
        <f>-275829.7+193920</f>
        <v>-81909.700000000012</v>
      </c>
      <c r="F169" s="57"/>
      <c r="G169" s="57"/>
      <c r="H169" s="57"/>
    </row>
    <row r="170" spans="1:8" s="27" customFormat="1">
      <c r="A170" s="215"/>
      <c r="B170" s="218"/>
      <c r="C170" s="56" t="s">
        <v>187</v>
      </c>
      <c r="D170" s="57">
        <f t="shared" si="60"/>
        <v>18308.699999999997</v>
      </c>
      <c r="E170" s="57">
        <f>-100000+118308.7</f>
        <v>18308.699999999997</v>
      </c>
      <c r="F170" s="57"/>
      <c r="G170" s="57"/>
      <c r="H170" s="57"/>
    </row>
    <row r="171" spans="1:8" s="27" customFormat="1" ht="28.35" customHeight="1">
      <c r="A171" s="20"/>
      <c r="B171" s="50"/>
      <c r="C171" s="53" t="s">
        <v>105</v>
      </c>
      <c r="D171" s="70">
        <f>SUM(E171:H171)</f>
        <v>924</v>
      </c>
      <c r="E171" s="70">
        <f>+E172</f>
        <v>924</v>
      </c>
      <c r="F171" s="70">
        <f>+F172</f>
        <v>0</v>
      </c>
      <c r="G171" s="70">
        <f>+G172</f>
        <v>0</v>
      </c>
      <c r="H171" s="70">
        <f>+H172</f>
        <v>0</v>
      </c>
    </row>
    <row r="172" spans="1:8" s="27" customFormat="1" ht="33">
      <c r="A172" s="20"/>
      <c r="B172" s="50"/>
      <c r="C172" s="56" t="s">
        <v>188</v>
      </c>
      <c r="D172" s="57">
        <f>+E172+F172+G172+H172</f>
        <v>924</v>
      </c>
      <c r="E172" s="57">
        <f>-60000+60924</f>
        <v>924</v>
      </c>
      <c r="F172" s="57"/>
      <c r="G172" s="57"/>
      <c r="H172" s="57"/>
    </row>
    <row r="173" spans="1:8" s="18" customFormat="1" ht="46.5" customHeight="1">
      <c r="A173" s="19">
        <v>1236</v>
      </c>
      <c r="B173" s="46">
        <v>32002</v>
      </c>
      <c r="C173" s="49" t="s">
        <v>189</v>
      </c>
      <c r="D173" s="43">
        <f>SUM(E173:H173)</f>
        <v>-600000</v>
      </c>
      <c r="E173" s="43">
        <f>+E175+E176</f>
        <v>0</v>
      </c>
      <c r="F173" s="43">
        <f t="shared" ref="F173:H173" si="61">+F175+F176</f>
        <v>-600000</v>
      </c>
      <c r="G173" s="43">
        <f t="shared" si="61"/>
        <v>0</v>
      </c>
      <c r="H173" s="43">
        <f t="shared" si="61"/>
        <v>0</v>
      </c>
    </row>
    <row r="174" spans="1:8" s="18" customFormat="1" ht="17.25">
      <c r="A174" s="22"/>
      <c r="B174" s="60"/>
      <c r="C174" s="61" t="s">
        <v>32</v>
      </c>
      <c r="D174" s="50"/>
      <c r="E174" s="50"/>
      <c r="F174" s="50"/>
      <c r="G174" s="50"/>
      <c r="H174" s="50"/>
    </row>
    <row r="175" spans="1:8" s="27" customFormat="1" ht="33">
      <c r="A175" s="20"/>
      <c r="B175" s="50"/>
      <c r="C175" s="53" t="s">
        <v>189</v>
      </c>
      <c r="D175" s="70">
        <f>SUM(E175:H175)</f>
        <v>-578815.5</v>
      </c>
      <c r="E175" s="70">
        <v>0</v>
      </c>
      <c r="F175" s="70">
        <f>-600000+21184.5</f>
        <v>-578815.5</v>
      </c>
      <c r="G175" s="70">
        <v>0</v>
      </c>
      <c r="H175" s="70">
        <v>0</v>
      </c>
    </row>
    <row r="176" spans="1:8" s="27" customFormat="1" ht="28.35" customHeight="1">
      <c r="A176" s="20"/>
      <c r="B176" s="50"/>
      <c r="C176" s="53" t="s">
        <v>101</v>
      </c>
      <c r="D176" s="70">
        <f>SUM(E176:H176)</f>
        <v>-21184.5</v>
      </c>
      <c r="E176" s="70">
        <f>+E177</f>
        <v>0</v>
      </c>
      <c r="F176" s="70">
        <f>+F177</f>
        <v>-21184.5</v>
      </c>
      <c r="G176" s="70">
        <f>+G177</f>
        <v>0</v>
      </c>
      <c r="H176" s="70">
        <f>+H177</f>
        <v>0</v>
      </c>
    </row>
    <row r="177" spans="1:8" s="27" customFormat="1" ht="33">
      <c r="A177" s="20"/>
      <c r="B177" s="50"/>
      <c r="C177" s="56" t="s">
        <v>190</v>
      </c>
      <c r="D177" s="57">
        <f>+E177+F177+G177+H177</f>
        <v>-21184.5</v>
      </c>
      <c r="E177" s="57"/>
      <c r="F177" s="57">
        <v>-21184.5</v>
      </c>
      <c r="G177" s="57"/>
      <c r="H177" s="57"/>
    </row>
    <row r="178" spans="1:8" s="18" customFormat="1" ht="46.5" customHeight="1">
      <c r="A178" s="19">
        <v>1236</v>
      </c>
      <c r="B178" s="46">
        <v>32003</v>
      </c>
      <c r="C178" s="49" t="s">
        <v>191</v>
      </c>
      <c r="D178" s="43">
        <f>SUM(E178:H178)</f>
        <v>1.4551915228366852E-10</v>
      </c>
      <c r="E178" s="43">
        <f>+E180+E181+E183</f>
        <v>1.4551915228366852E-10</v>
      </c>
      <c r="F178" s="43">
        <f t="shared" ref="F178:H178" si="62">+F180+F181+F183</f>
        <v>0</v>
      </c>
      <c r="G178" s="43">
        <f t="shared" si="62"/>
        <v>0</v>
      </c>
      <c r="H178" s="43">
        <f t="shared" si="62"/>
        <v>0</v>
      </c>
    </row>
    <row r="179" spans="1:8" s="18" customFormat="1" ht="17.25">
      <c r="A179" s="22"/>
      <c r="B179" s="60"/>
      <c r="C179" s="61" t="s">
        <v>32</v>
      </c>
      <c r="D179" s="85"/>
      <c r="E179" s="86"/>
      <c r="F179" s="86"/>
      <c r="G179" s="50"/>
      <c r="H179" s="50"/>
    </row>
    <row r="180" spans="1:8" s="23" customFormat="1" ht="17.25">
      <c r="A180" s="20"/>
      <c r="B180" s="50"/>
      <c r="C180" s="90" t="s">
        <v>191</v>
      </c>
      <c r="D180" s="70">
        <f>SUM(E180:H180)</f>
        <v>-697437.39999999991</v>
      </c>
      <c r="E180" s="70">
        <f>-688834.2-8603.2</f>
        <v>-697437.39999999991</v>
      </c>
      <c r="F180" s="70">
        <v>0</v>
      </c>
      <c r="G180" s="70">
        <v>0</v>
      </c>
      <c r="H180" s="70">
        <v>0</v>
      </c>
    </row>
    <row r="181" spans="1:8" s="27" customFormat="1" ht="17.25">
      <c r="A181" s="32"/>
      <c r="B181" s="91"/>
      <c r="C181" s="53" t="s">
        <v>99</v>
      </c>
      <c r="D181" s="70">
        <f>SUM(E181:H181)</f>
        <v>688834.20000000007</v>
      </c>
      <c r="E181" s="70">
        <f>+E182</f>
        <v>688834.20000000007</v>
      </c>
      <c r="F181" s="70">
        <f t="shared" ref="F181:H181" si="63">+F182</f>
        <v>0</v>
      </c>
      <c r="G181" s="70">
        <f t="shared" si="63"/>
        <v>0</v>
      </c>
      <c r="H181" s="70">
        <f t="shared" si="63"/>
        <v>0</v>
      </c>
    </row>
    <row r="182" spans="1:8" s="27" customFormat="1">
      <c r="A182" s="30"/>
      <c r="B182" s="80"/>
      <c r="C182" s="56" t="s">
        <v>192</v>
      </c>
      <c r="D182" s="57">
        <f>+E182+F182+G182+H182</f>
        <v>688834.20000000007</v>
      </c>
      <c r="E182" s="57">
        <f>884330.3-195496.1</f>
        <v>688834.20000000007</v>
      </c>
      <c r="F182" s="57"/>
      <c r="G182" s="57"/>
      <c r="H182" s="58"/>
    </row>
    <row r="183" spans="1:8" s="27" customFormat="1" ht="17.25">
      <c r="A183" s="32"/>
      <c r="B183" s="91"/>
      <c r="C183" s="53" t="s">
        <v>103</v>
      </c>
      <c r="D183" s="70">
        <f>SUM(E183:H183)</f>
        <v>8603.1999999999825</v>
      </c>
      <c r="E183" s="70">
        <f>+E184</f>
        <v>8603.1999999999825</v>
      </c>
      <c r="F183" s="70">
        <f t="shared" ref="F183:H183" si="64">+F184</f>
        <v>0</v>
      </c>
      <c r="G183" s="70">
        <f t="shared" si="64"/>
        <v>0</v>
      </c>
      <c r="H183" s="70">
        <f t="shared" si="64"/>
        <v>0</v>
      </c>
    </row>
    <row r="184" spans="1:8" s="27" customFormat="1" ht="20.25" customHeight="1">
      <c r="A184" s="30"/>
      <c r="B184" s="80"/>
      <c r="C184" s="56" t="s">
        <v>193</v>
      </c>
      <c r="D184" s="57">
        <f>+E184+F184+G184+H184</f>
        <v>8603.1999999999825</v>
      </c>
      <c r="E184" s="57">
        <f>210580.4-201977.2</f>
        <v>8603.1999999999825</v>
      </c>
      <c r="F184" s="57"/>
      <c r="G184" s="57"/>
      <c r="H184" s="58"/>
    </row>
    <row r="185" spans="1:8" s="18" customFormat="1" ht="33">
      <c r="A185" s="19">
        <v>1236</v>
      </c>
      <c r="B185" s="46">
        <v>32004</v>
      </c>
      <c r="C185" s="49" t="s">
        <v>194</v>
      </c>
      <c r="D185" s="43">
        <f>SUM(E185:H185)</f>
        <v>1.3096723705530167E-10</v>
      </c>
      <c r="E185" s="43">
        <f>+E187+E188+E190+E199+E201+E206+E213+E219+E221+E227+E232</f>
        <v>0</v>
      </c>
      <c r="F185" s="43">
        <f t="shared" ref="F185:H185" si="65">+F187+F188+F190+F199+F201+F206+F213+F219+F221+F227+F232</f>
        <v>1.3096723705530167E-10</v>
      </c>
      <c r="G185" s="43">
        <f t="shared" si="65"/>
        <v>0</v>
      </c>
      <c r="H185" s="43">
        <f t="shared" si="65"/>
        <v>0</v>
      </c>
    </row>
    <row r="186" spans="1:8" s="18" customFormat="1" ht="17.25">
      <c r="A186" s="20"/>
      <c r="B186" s="50"/>
      <c r="C186" s="61" t="s">
        <v>32</v>
      </c>
      <c r="D186" s="79"/>
      <c r="E186" s="79"/>
      <c r="F186" s="79"/>
      <c r="G186" s="79"/>
      <c r="H186" s="50"/>
    </row>
    <row r="187" spans="1:8" s="23" customFormat="1" ht="33">
      <c r="A187" s="20"/>
      <c r="B187" s="50"/>
      <c r="C187" s="53" t="s">
        <v>194</v>
      </c>
      <c r="D187" s="70">
        <f>SUM(E187:H187)</f>
        <v>1287403.1000000001</v>
      </c>
      <c r="E187" s="70">
        <v>0</v>
      </c>
      <c r="F187" s="70">
        <f>33701.9-50000-50000-50000-50000-50000-50000-50000-50000+12037.3+18450.5+68600+71060+141096.1+48362.2+151868.1+54450.5+50600+44365.3+77449.1+66461.2+23477.5+62473.2+3977.8+66449+19842+30425+56400+63877+77800+102761.4+75900+37419.8+35000+148000+45098.2</f>
        <v>1287403.1000000001</v>
      </c>
      <c r="G187" s="70">
        <v>0</v>
      </c>
      <c r="H187" s="70">
        <v>0</v>
      </c>
    </row>
    <row r="188" spans="1:8" s="23" customFormat="1" ht="17.25">
      <c r="A188" s="20"/>
      <c r="B188" s="50"/>
      <c r="C188" s="53" t="s">
        <v>97</v>
      </c>
      <c r="D188" s="54">
        <f>SUM(E188:H188)</f>
        <v>-33701.9</v>
      </c>
      <c r="E188" s="54">
        <f>+E189</f>
        <v>0</v>
      </c>
      <c r="F188" s="54">
        <f t="shared" ref="F188:H188" si="66">+F189</f>
        <v>-33701.9</v>
      </c>
      <c r="G188" s="54">
        <f t="shared" si="66"/>
        <v>0</v>
      </c>
      <c r="H188" s="54">
        <f t="shared" si="66"/>
        <v>0</v>
      </c>
    </row>
    <row r="189" spans="1:8" s="33" customFormat="1">
      <c r="A189" s="30"/>
      <c r="B189" s="80"/>
      <c r="C189" s="92" t="s">
        <v>195</v>
      </c>
      <c r="D189" s="93">
        <f t="shared" ref="D189" si="67">+E189+F189+G189+H189</f>
        <v>-33701.9</v>
      </c>
      <c r="E189" s="93"/>
      <c r="F189" s="93">
        <f>45298.1-79000</f>
        <v>-33701.9</v>
      </c>
      <c r="G189" s="93"/>
      <c r="H189" s="93"/>
    </row>
    <row r="190" spans="1:8" s="35" customFormat="1" ht="17.25">
      <c r="A190" s="34"/>
      <c r="B190" s="94"/>
      <c r="C190" s="87" t="s">
        <v>146</v>
      </c>
      <c r="D190" s="95">
        <f>SUM(E190:H190)</f>
        <v>269512.2</v>
      </c>
      <c r="E190" s="96">
        <f>SUM(E191:E198)</f>
        <v>0</v>
      </c>
      <c r="F190" s="96">
        <f t="shared" ref="F190:H190" si="68">SUM(F191:F198)</f>
        <v>269512.2</v>
      </c>
      <c r="G190" s="96">
        <f t="shared" si="68"/>
        <v>0</v>
      </c>
      <c r="H190" s="96">
        <f t="shared" si="68"/>
        <v>0</v>
      </c>
    </row>
    <row r="191" spans="1:8" s="33" customFormat="1" ht="17.25">
      <c r="A191" s="36"/>
      <c r="B191" s="97"/>
      <c r="C191" s="92" t="s">
        <v>196</v>
      </c>
      <c r="D191" s="93">
        <f>+E191+F191+G191+H191</f>
        <v>-12037.299999999996</v>
      </c>
      <c r="E191" s="93"/>
      <c r="F191" s="93">
        <f>48684.4-60721.7</f>
        <v>-12037.299999999996</v>
      </c>
      <c r="G191" s="93"/>
      <c r="H191" s="93"/>
    </row>
    <row r="192" spans="1:8" s="33" customFormat="1" ht="17.25">
      <c r="A192" s="36"/>
      <c r="B192" s="97"/>
      <c r="C192" s="92" t="s">
        <v>197</v>
      </c>
      <c r="D192" s="93">
        <f>+E192+F192+G192+H192</f>
        <v>-18450.5</v>
      </c>
      <c r="E192" s="93"/>
      <c r="F192" s="93">
        <f>13949.5-32400</f>
        <v>-18450.5</v>
      </c>
      <c r="G192" s="93"/>
      <c r="H192" s="93"/>
    </row>
    <row r="193" spans="1:8" s="33" customFormat="1" ht="17.25">
      <c r="A193" s="36"/>
      <c r="B193" s="97"/>
      <c r="C193" s="92" t="s">
        <v>198</v>
      </c>
      <c r="D193" s="93">
        <f t="shared" ref="D193:D198" si="69">+E193+F193+G193+H193</f>
        <v>50000</v>
      </c>
      <c r="E193" s="93"/>
      <c r="F193" s="98">
        <f>323400-273400</f>
        <v>50000</v>
      </c>
      <c r="G193" s="93"/>
      <c r="H193" s="93"/>
    </row>
    <row r="194" spans="1:8" s="33" customFormat="1" ht="17.25">
      <c r="A194" s="36"/>
      <c r="B194" s="97"/>
      <c r="C194" s="92" t="s">
        <v>199</v>
      </c>
      <c r="D194" s="93">
        <f t="shared" si="69"/>
        <v>50000</v>
      </c>
      <c r="E194" s="93"/>
      <c r="F194" s="98">
        <f>209085.6-159085.6</f>
        <v>50000</v>
      </c>
      <c r="G194" s="93"/>
      <c r="H194" s="93"/>
    </row>
    <row r="195" spans="1:8" s="33" customFormat="1" ht="17.25">
      <c r="A195" s="36"/>
      <c r="B195" s="97"/>
      <c r="C195" s="92" t="s">
        <v>200</v>
      </c>
      <c r="D195" s="93">
        <f t="shared" si="69"/>
        <v>50000.000000000015</v>
      </c>
      <c r="E195" s="93"/>
      <c r="F195" s="98">
        <f>163913.2-113913.2</f>
        <v>50000.000000000015</v>
      </c>
      <c r="G195" s="93"/>
      <c r="H195" s="93"/>
    </row>
    <row r="196" spans="1:8" s="33" customFormat="1" ht="17.25">
      <c r="A196" s="36"/>
      <c r="B196" s="97"/>
      <c r="C196" s="92" t="s">
        <v>201</v>
      </c>
      <c r="D196" s="93">
        <f t="shared" si="69"/>
        <v>50000</v>
      </c>
      <c r="E196" s="93"/>
      <c r="F196" s="98">
        <f>186629.1-136629.1</f>
        <v>50000</v>
      </c>
      <c r="G196" s="93"/>
      <c r="H196" s="93"/>
    </row>
    <row r="197" spans="1:8" s="33" customFormat="1" ht="17.25">
      <c r="A197" s="36"/>
      <c r="B197" s="97"/>
      <c r="C197" s="92" t="s">
        <v>202</v>
      </c>
      <c r="D197" s="93">
        <f t="shared" si="69"/>
        <v>50000</v>
      </c>
      <c r="E197" s="93"/>
      <c r="F197" s="98">
        <f>175600-125600</f>
        <v>50000</v>
      </c>
      <c r="G197" s="93"/>
      <c r="H197" s="93"/>
    </row>
    <row r="198" spans="1:8" s="33" customFormat="1" ht="17.25">
      <c r="A198" s="36"/>
      <c r="B198" s="97"/>
      <c r="C198" s="92" t="s">
        <v>203</v>
      </c>
      <c r="D198" s="93">
        <f t="shared" si="69"/>
        <v>50000</v>
      </c>
      <c r="E198" s="93"/>
      <c r="F198" s="98">
        <f>234400-184400</f>
        <v>50000</v>
      </c>
      <c r="G198" s="93"/>
      <c r="H198" s="93"/>
    </row>
    <row r="199" spans="1:8" s="35" customFormat="1" ht="17.25">
      <c r="A199" s="34"/>
      <c r="B199" s="94"/>
      <c r="C199" s="87" t="s">
        <v>99</v>
      </c>
      <c r="D199" s="95">
        <f>SUM(E199:H199)</f>
        <v>-68600</v>
      </c>
      <c r="E199" s="96">
        <f>+E200</f>
        <v>0</v>
      </c>
      <c r="F199" s="96">
        <f t="shared" ref="F199:H199" si="70">+F200</f>
        <v>-68600</v>
      </c>
      <c r="G199" s="96">
        <f t="shared" si="70"/>
        <v>0</v>
      </c>
      <c r="H199" s="96">
        <f t="shared" si="70"/>
        <v>0</v>
      </c>
    </row>
    <row r="200" spans="1:8" s="33" customFormat="1" ht="17.25">
      <c r="A200" s="37"/>
      <c r="B200" s="99"/>
      <c r="C200" s="92" t="s">
        <v>204</v>
      </c>
      <c r="D200" s="93">
        <f>+E200+F200+G200+H200</f>
        <v>-68600</v>
      </c>
      <c r="E200" s="93"/>
      <c r="F200" s="93">
        <v>-68600</v>
      </c>
      <c r="G200" s="93"/>
      <c r="H200" s="93"/>
    </row>
    <row r="201" spans="1:8" s="39" customFormat="1" ht="16.899999999999999" customHeight="1">
      <c r="A201" s="38"/>
      <c r="B201" s="100"/>
      <c r="C201" s="101" t="s">
        <v>109</v>
      </c>
      <c r="D201" s="102">
        <f>SUM(E201:H201)</f>
        <v>-112156.1</v>
      </c>
      <c r="E201" s="102">
        <f>SUM(E202:E205)</f>
        <v>0</v>
      </c>
      <c r="F201" s="102">
        <f t="shared" ref="F201:H201" si="71">SUM(F202:F205)</f>
        <v>-112156.1</v>
      </c>
      <c r="G201" s="102">
        <f t="shared" si="71"/>
        <v>0</v>
      </c>
      <c r="H201" s="102">
        <f t="shared" si="71"/>
        <v>0</v>
      </c>
    </row>
    <row r="202" spans="1:8" s="33" customFormat="1">
      <c r="A202" s="30"/>
      <c r="B202" s="80"/>
      <c r="C202" s="92" t="s">
        <v>205</v>
      </c>
      <c r="D202" s="93">
        <f>+E202+F202+G202+H202</f>
        <v>-71060</v>
      </c>
      <c r="E202" s="93"/>
      <c r="F202" s="93">
        <f>50000-121060</f>
        <v>-71060</v>
      </c>
      <c r="G202" s="93"/>
      <c r="H202" s="93"/>
    </row>
    <row r="203" spans="1:8" s="33" customFormat="1">
      <c r="A203" s="30"/>
      <c r="B203" s="80"/>
      <c r="C203" s="92" t="s">
        <v>206</v>
      </c>
      <c r="D203" s="93">
        <f t="shared" ref="D203:D205" si="72">+E203+F203+G203+H203</f>
        <v>-141096.1</v>
      </c>
      <c r="E203" s="93"/>
      <c r="F203" s="93">
        <f>42803.9-183900</f>
        <v>-141096.1</v>
      </c>
      <c r="G203" s="103"/>
      <c r="H203" s="103"/>
    </row>
    <row r="204" spans="1:8" s="33" customFormat="1">
      <c r="A204" s="30"/>
      <c r="B204" s="80"/>
      <c r="C204" s="92" t="s">
        <v>207</v>
      </c>
      <c r="D204" s="93">
        <f t="shared" si="72"/>
        <v>50000</v>
      </c>
      <c r="E204" s="93"/>
      <c r="F204" s="98">
        <f>129395-79395</f>
        <v>50000</v>
      </c>
      <c r="G204" s="93"/>
      <c r="H204" s="93"/>
    </row>
    <row r="205" spans="1:8" s="33" customFormat="1">
      <c r="A205" s="30"/>
      <c r="B205" s="80"/>
      <c r="C205" s="92" t="s">
        <v>208</v>
      </c>
      <c r="D205" s="93">
        <f t="shared" si="72"/>
        <v>50000</v>
      </c>
      <c r="E205" s="93"/>
      <c r="F205" s="98">
        <f>367454.1-317454.1</f>
        <v>50000</v>
      </c>
      <c r="G205" s="93"/>
      <c r="H205" s="93"/>
    </row>
    <row r="206" spans="1:8" s="35" customFormat="1" ht="17.25">
      <c r="A206" s="34"/>
      <c r="B206" s="94"/>
      <c r="C206" s="87" t="s">
        <v>101</v>
      </c>
      <c r="D206" s="95">
        <f>SUM(E206:H206)</f>
        <v>-427095.19999999995</v>
      </c>
      <c r="E206" s="96">
        <f>SUM(E207:E212)</f>
        <v>0</v>
      </c>
      <c r="F206" s="96">
        <f t="shared" ref="F206:H206" si="73">SUM(F207:F212)</f>
        <v>-427095.19999999995</v>
      </c>
      <c r="G206" s="96">
        <f t="shared" si="73"/>
        <v>0</v>
      </c>
      <c r="H206" s="96">
        <f t="shared" si="73"/>
        <v>0</v>
      </c>
    </row>
    <row r="207" spans="1:8" s="33" customFormat="1">
      <c r="A207" s="30"/>
      <c r="B207" s="80"/>
      <c r="C207" s="92" t="s">
        <v>209</v>
      </c>
      <c r="D207" s="93">
        <f t="shared" ref="D207:D212" si="74">+E207+F207+G207+H207</f>
        <v>-48362.2</v>
      </c>
      <c r="E207" s="93"/>
      <c r="F207" s="93">
        <f>33097.8-81460</f>
        <v>-48362.2</v>
      </c>
      <c r="G207" s="93"/>
      <c r="H207" s="93"/>
    </row>
    <row r="208" spans="1:8" s="33" customFormat="1">
      <c r="A208" s="30"/>
      <c r="B208" s="80"/>
      <c r="C208" s="92" t="s">
        <v>210</v>
      </c>
      <c r="D208" s="93">
        <f t="shared" si="74"/>
        <v>-151868.1</v>
      </c>
      <c r="E208" s="93"/>
      <c r="F208" s="98">
        <f>17022-168890.1</f>
        <v>-151868.1</v>
      </c>
      <c r="G208" s="93"/>
      <c r="H208" s="93"/>
    </row>
    <row r="209" spans="1:8" s="33" customFormat="1">
      <c r="A209" s="30"/>
      <c r="B209" s="80"/>
      <c r="C209" s="92" t="s">
        <v>211</v>
      </c>
      <c r="D209" s="93">
        <f t="shared" si="74"/>
        <v>-54450.500000000015</v>
      </c>
      <c r="E209" s="93"/>
      <c r="F209" s="98">
        <f>123395.2-177845.7</f>
        <v>-54450.500000000015</v>
      </c>
      <c r="G209" s="93"/>
      <c r="H209" s="93"/>
    </row>
    <row r="210" spans="1:8" s="33" customFormat="1">
      <c r="A210" s="30"/>
      <c r="B210" s="80"/>
      <c r="C210" s="92" t="s">
        <v>212</v>
      </c>
      <c r="D210" s="93">
        <f t="shared" si="74"/>
        <v>-50600</v>
      </c>
      <c r="E210" s="93"/>
      <c r="F210" s="98">
        <f>36400-87000</f>
        <v>-50600</v>
      </c>
      <c r="G210" s="93"/>
      <c r="H210" s="93"/>
    </row>
    <row r="211" spans="1:8" s="33" customFormat="1">
      <c r="A211" s="30"/>
      <c r="B211" s="80"/>
      <c r="C211" s="92" t="s">
        <v>213</v>
      </c>
      <c r="D211" s="93">
        <f t="shared" si="74"/>
        <v>-44365.299999999996</v>
      </c>
      <c r="E211" s="93"/>
      <c r="F211" s="98">
        <f>28102.4-72467.7</f>
        <v>-44365.299999999996</v>
      </c>
      <c r="G211" s="93"/>
      <c r="H211" s="93"/>
    </row>
    <row r="212" spans="1:8" s="33" customFormat="1">
      <c r="A212" s="30"/>
      <c r="B212" s="80"/>
      <c r="C212" s="92" t="s">
        <v>214</v>
      </c>
      <c r="D212" s="93">
        <f t="shared" si="74"/>
        <v>-77449.100000000006</v>
      </c>
      <c r="E212" s="93"/>
      <c r="F212" s="98">
        <f>37050.9-114500</f>
        <v>-77449.100000000006</v>
      </c>
      <c r="G212" s="93"/>
      <c r="H212" s="93"/>
    </row>
    <row r="213" spans="1:8" s="35" customFormat="1" ht="17.25">
      <c r="A213" s="34"/>
      <c r="B213" s="94"/>
      <c r="C213" s="87" t="s">
        <v>125</v>
      </c>
      <c r="D213" s="95">
        <f>SUM(E213:H213)</f>
        <v>-222838.7</v>
      </c>
      <c r="E213" s="96">
        <f>SUM(E214:E218)</f>
        <v>0</v>
      </c>
      <c r="F213" s="96">
        <f t="shared" ref="F213:H213" si="75">SUM(F214:F218)</f>
        <v>-222838.7</v>
      </c>
      <c r="G213" s="96">
        <f t="shared" si="75"/>
        <v>0</v>
      </c>
      <c r="H213" s="96">
        <f t="shared" si="75"/>
        <v>0</v>
      </c>
    </row>
    <row r="214" spans="1:8" s="33" customFormat="1" ht="33">
      <c r="A214" s="30"/>
      <c r="B214" s="80"/>
      <c r="C214" s="92" t="s">
        <v>215</v>
      </c>
      <c r="D214" s="93">
        <f t="shared" ref="D214:D218" si="76">+E214+F214+G214+H214</f>
        <v>-66461.2</v>
      </c>
      <c r="E214" s="93"/>
      <c r="F214" s="98">
        <v>-66461.2</v>
      </c>
      <c r="G214" s="93"/>
      <c r="H214" s="93"/>
    </row>
    <row r="215" spans="1:8" s="33" customFormat="1">
      <c r="A215" s="30"/>
      <c r="B215" s="80"/>
      <c r="C215" s="92" t="s">
        <v>216</v>
      </c>
      <c r="D215" s="93">
        <f t="shared" si="76"/>
        <v>-23477.5</v>
      </c>
      <c r="E215" s="93"/>
      <c r="F215" s="98">
        <f>26818.5-50296</f>
        <v>-23477.5</v>
      </c>
      <c r="G215" s="93"/>
      <c r="H215" s="93"/>
    </row>
    <row r="216" spans="1:8" s="33" customFormat="1">
      <c r="A216" s="30"/>
      <c r="B216" s="80"/>
      <c r="C216" s="92" t="s">
        <v>217</v>
      </c>
      <c r="D216" s="93">
        <f t="shared" si="76"/>
        <v>-62473.2</v>
      </c>
      <c r="E216" s="93"/>
      <c r="F216" s="98">
        <v>-62473.2</v>
      </c>
      <c r="G216" s="93"/>
      <c r="H216" s="93"/>
    </row>
    <row r="217" spans="1:8" s="33" customFormat="1">
      <c r="A217" s="30"/>
      <c r="B217" s="80"/>
      <c r="C217" s="92" t="s">
        <v>218</v>
      </c>
      <c r="D217" s="93">
        <f t="shared" si="76"/>
        <v>-3977.8000000000029</v>
      </c>
      <c r="E217" s="93"/>
      <c r="F217" s="98">
        <f>33002.2-36980</f>
        <v>-3977.8000000000029</v>
      </c>
      <c r="G217" s="93"/>
      <c r="H217" s="93"/>
    </row>
    <row r="218" spans="1:8" s="33" customFormat="1" ht="17.45" customHeight="1">
      <c r="A218" s="30"/>
      <c r="B218" s="80"/>
      <c r="C218" s="92" t="s">
        <v>219</v>
      </c>
      <c r="D218" s="93">
        <f t="shared" si="76"/>
        <v>-66449</v>
      </c>
      <c r="E218" s="93"/>
      <c r="F218" s="98">
        <v>-66449</v>
      </c>
      <c r="G218" s="93"/>
      <c r="H218" s="93"/>
    </row>
    <row r="219" spans="1:8" s="39" customFormat="1" ht="16.899999999999999" customHeight="1">
      <c r="A219" s="38"/>
      <c r="B219" s="100"/>
      <c r="C219" s="101" t="s">
        <v>130</v>
      </c>
      <c r="D219" s="104">
        <f>SUM(E219:H219)</f>
        <v>-19842</v>
      </c>
      <c r="E219" s="104">
        <f>+E220</f>
        <v>0</v>
      </c>
      <c r="F219" s="104">
        <f t="shared" ref="F219:H219" si="77">+F220</f>
        <v>-19842</v>
      </c>
      <c r="G219" s="104">
        <f t="shared" si="77"/>
        <v>0</v>
      </c>
      <c r="H219" s="104">
        <f t="shared" si="77"/>
        <v>0</v>
      </c>
    </row>
    <row r="220" spans="1:8" s="33" customFormat="1">
      <c r="A220" s="30"/>
      <c r="B220" s="80"/>
      <c r="C220" s="92" t="s">
        <v>220</v>
      </c>
      <c r="D220" s="93">
        <f t="shared" ref="D220" si="78">+E220+F220+G220+H220</f>
        <v>-19842</v>
      </c>
      <c r="E220" s="93"/>
      <c r="F220" s="98">
        <f>29858-49700</f>
        <v>-19842</v>
      </c>
      <c r="G220" s="93"/>
      <c r="H220" s="93"/>
    </row>
    <row r="221" spans="1:8" s="35" customFormat="1" ht="17.25">
      <c r="A221" s="34"/>
      <c r="B221" s="94"/>
      <c r="C221" s="87" t="s">
        <v>103</v>
      </c>
      <c r="D221" s="95">
        <f>SUM(E221:H221)</f>
        <v>-331263.40000000002</v>
      </c>
      <c r="E221" s="96">
        <f>SUM(E222:E226)</f>
        <v>0</v>
      </c>
      <c r="F221" s="96">
        <f>SUM(F222:F226)</f>
        <v>-331263.40000000002</v>
      </c>
      <c r="G221" s="96">
        <f t="shared" ref="G221:H221" si="79">SUM(G222:G226)</f>
        <v>0</v>
      </c>
      <c r="H221" s="96">
        <f t="shared" si="79"/>
        <v>0</v>
      </c>
    </row>
    <row r="222" spans="1:8" s="33" customFormat="1" ht="17.25">
      <c r="A222" s="36"/>
      <c r="B222" s="97"/>
      <c r="C222" s="92" t="s">
        <v>221</v>
      </c>
      <c r="D222" s="93">
        <f t="shared" ref="D222:D226" si="80">+E222+F222+G222+H222</f>
        <v>-30425</v>
      </c>
      <c r="E222" s="93"/>
      <c r="F222" s="93">
        <v>-30425</v>
      </c>
      <c r="G222" s="93"/>
      <c r="H222" s="93"/>
    </row>
    <row r="223" spans="1:8" s="33" customFormat="1" ht="17.25">
      <c r="A223" s="36"/>
      <c r="B223" s="97"/>
      <c r="C223" s="92" t="s">
        <v>222</v>
      </c>
      <c r="D223" s="93">
        <f t="shared" si="80"/>
        <v>-56400</v>
      </c>
      <c r="E223" s="93"/>
      <c r="F223" s="93">
        <v>-56400</v>
      </c>
      <c r="G223" s="93"/>
      <c r="H223" s="93"/>
    </row>
    <row r="224" spans="1:8" s="33" customFormat="1" ht="17.25">
      <c r="A224" s="36"/>
      <c r="B224" s="97"/>
      <c r="C224" s="92" t="s">
        <v>223</v>
      </c>
      <c r="D224" s="93">
        <f t="shared" si="80"/>
        <v>-63877</v>
      </c>
      <c r="E224" s="93"/>
      <c r="F224" s="93">
        <v>-63877</v>
      </c>
      <c r="G224" s="93"/>
      <c r="H224" s="93"/>
    </row>
    <row r="225" spans="1:8" s="33" customFormat="1" ht="17.25">
      <c r="A225" s="36"/>
      <c r="B225" s="97"/>
      <c r="C225" s="92" t="s">
        <v>224</v>
      </c>
      <c r="D225" s="93">
        <f t="shared" si="80"/>
        <v>-77800</v>
      </c>
      <c r="E225" s="93"/>
      <c r="F225" s="93">
        <v>-77800</v>
      </c>
      <c r="G225" s="93"/>
      <c r="H225" s="93"/>
    </row>
    <row r="226" spans="1:8" s="33" customFormat="1" ht="17.25">
      <c r="A226" s="40"/>
      <c r="B226" s="105"/>
      <c r="C226" s="92" t="s">
        <v>225</v>
      </c>
      <c r="D226" s="93">
        <f t="shared" si="80"/>
        <v>-102761.4</v>
      </c>
      <c r="E226" s="93"/>
      <c r="F226" s="93">
        <f>37478.6-140240</f>
        <v>-102761.4</v>
      </c>
      <c r="G226" s="93"/>
      <c r="H226" s="93"/>
    </row>
    <row r="227" spans="1:8" s="39" customFormat="1" ht="16.899999999999999" customHeight="1">
      <c r="A227" s="38"/>
      <c r="B227" s="100"/>
      <c r="C227" s="101" t="s">
        <v>134</v>
      </c>
      <c r="D227" s="102">
        <f>SUM(E227:H227)</f>
        <v>-296319.8</v>
      </c>
      <c r="E227" s="102">
        <f>SUM(E228:E231)</f>
        <v>0</v>
      </c>
      <c r="F227" s="102">
        <f t="shared" ref="F227:H227" si="81">SUM(F228:F231)</f>
        <v>-296319.8</v>
      </c>
      <c r="G227" s="102">
        <f t="shared" si="81"/>
        <v>0</v>
      </c>
      <c r="H227" s="102">
        <f t="shared" si="81"/>
        <v>0</v>
      </c>
    </row>
    <row r="228" spans="1:8" s="33" customFormat="1" ht="17.25">
      <c r="A228" s="36"/>
      <c r="B228" s="97"/>
      <c r="C228" s="92" t="s">
        <v>226</v>
      </c>
      <c r="D228" s="93">
        <f>+E228+F228+G228+H228</f>
        <v>-75900</v>
      </c>
      <c r="E228" s="93"/>
      <c r="F228" s="93">
        <v>-75900</v>
      </c>
      <c r="G228" s="93"/>
      <c r="H228" s="93"/>
    </row>
    <row r="229" spans="1:8" s="33" customFormat="1" ht="17.25">
      <c r="A229" s="36"/>
      <c r="B229" s="97"/>
      <c r="C229" s="92" t="s">
        <v>227</v>
      </c>
      <c r="D229" s="93">
        <f t="shared" ref="D229:D231" si="82">+E229+F229+G229+H229</f>
        <v>-37419.800000000003</v>
      </c>
      <c r="E229" s="93"/>
      <c r="F229" s="98">
        <v>-37419.800000000003</v>
      </c>
      <c r="G229" s="93"/>
      <c r="H229" s="93"/>
    </row>
    <row r="230" spans="1:8" s="33" customFormat="1" ht="17.25">
      <c r="A230" s="36"/>
      <c r="B230" s="97"/>
      <c r="C230" s="92" t="s">
        <v>228</v>
      </c>
      <c r="D230" s="93">
        <f t="shared" si="82"/>
        <v>-35000</v>
      </c>
      <c r="E230" s="93"/>
      <c r="F230" s="93">
        <v>-35000</v>
      </c>
      <c r="G230" s="103"/>
      <c r="H230" s="103"/>
    </row>
    <row r="231" spans="1:8" s="33" customFormat="1" ht="17.25">
      <c r="A231" s="36"/>
      <c r="B231" s="97"/>
      <c r="C231" s="92" t="s">
        <v>229</v>
      </c>
      <c r="D231" s="93">
        <f t="shared" si="82"/>
        <v>-148000</v>
      </c>
      <c r="E231" s="93"/>
      <c r="F231" s="93">
        <v>-148000</v>
      </c>
      <c r="G231" s="103"/>
      <c r="H231" s="103"/>
    </row>
    <row r="232" spans="1:8" s="39" customFormat="1" ht="17.25">
      <c r="A232" s="38"/>
      <c r="B232" s="100"/>
      <c r="C232" s="101" t="s">
        <v>136</v>
      </c>
      <c r="D232" s="104">
        <f>SUM(E232:H232)</f>
        <v>-45098.2</v>
      </c>
      <c r="E232" s="104">
        <f>+E233</f>
        <v>0</v>
      </c>
      <c r="F232" s="104">
        <f t="shared" ref="F232:H232" si="83">+F233</f>
        <v>-45098.2</v>
      </c>
      <c r="G232" s="104">
        <f t="shared" si="83"/>
        <v>0</v>
      </c>
      <c r="H232" s="104">
        <f t="shared" si="83"/>
        <v>0</v>
      </c>
    </row>
    <row r="233" spans="1:8" s="33" customFormat="1">
      <c r="A233" s="30"/>
      <c r="B233" s="80"/>
      <c r="C233" s="92" t="s">
        <v>230</v>
      </c>
      <c r="D233" s="93">
        <f>+E233+F233+G233+H233</f>
        <v>-45098.2</v>
      </c>
      <c r="E233" s="93"/>
      <c r="F233" s="93">
        <f>52812.3-97910.5</f>
        <v>-45098.2</v>
      </c>
      <c r="G233" s="103"/>
      <c r="H233" s="103"/>
    </row>
    <row r="234" spans="1:8" s="41" customFormat="1" ht="17.25">
      <c r="A234" s="19">
        <v>1236</v>
      </c>
      <c r="B234" s="46">
        <v>32005</v>
      </c>
      <c r="C234" s="49" t="s">
        <v>231</v>
      </c>
      <c r="D234" s="43">
        <f>SUM(E234:H234)</f>
        <v>0</v>
      </c>
      <c r="E234" s="43">
        <f>+E236</f>
        <v>0</v>
      </c>
      <c r="F234" s="43">
        <f t="shared" ref="F234:H234" si="84">+F236</f>
        <v>0</v>
      </c>
      <c r="G234" s="43">
        <f t="shared" si="84"/>
        <v>0</v>
      </c>
      <c r="H234" s="43">
        <f t="shared" si="84"/>
        <v>0</v>
      </c>
    </row>
    <row r="235" spans="1:8" s="41" customFormat="1" ht="17.25">
      <c r="A235" s="20"/>
      <c r="B235" s="50"/>
      <c r="C235" s="61" t="s">
        <v>32</v>
      </c>
      <c r="D235" s="79"/>
      <c r="E235" s="79"/>
      <c r="F235" s="79"/>
      <c r="G235" s="79"/>
      <c r="H235" s="79"/>
    </row>
    <row r="236" spans="1:8" s="27" customFormat="1" ht="17.25">
      <c r="A236" s="20"/>
      <c r="B236" s="50"/>
      <c r="C236" s="53" t="s">
        <v>134</v>
      </c>
      <c r="D236" s="54">
        <f>SUM(E236:H236)</f>
        <v>0</v>
      </c>
      <c r="E236" s="70">
        <f>SUM(E237:E240)</f>
        <v>0</v>
      </c>
      <c r="F236" s="70">
        <f t="shared" ref="F236:H236" si="85">SUM(F237:F240)</f>
        <v>0</v>
      </c>
      <c r="G236" s="70">
        <f t="shared" si="85"/>
        <v>0</v>
      </c>
      <c r="H236" s="70">
        <f t="shared" si="85"/>
        <v>0</v>
      </c>
    </row>
    <row r="237" spans="1:8" s="33" customFormat="1">
      <c r="A237" s="30"/>
      <c r="B237" s="80"/>
      <c r="C237" s="92" t="s">
        <v>232</v>
      </c>
      <c r="D237" s="93">
        <f t="shared" ref="D237:D240" si="86">+E237+F237+G237+H237</f>
        <v>-300000</v>
      </c>
      <c r="E237" s="93">
        <v>-300000</v>
      </c>
      <c r="F237" s="93"/>
      <c r="G237" s="103"/>
      <c r="H237" s="103"/>
    </row>
    <row r="238" spans="1:8" s="33" customFormat="1">
      <c r="A238" s="30"/>
      <c r="B238" s="80"/>
      <c r="C238" s="92" t="s">
        <v>233</v>
      </c>
      <c r="D238" s="93">
        <f t="shared" si="86"/>
        <v>300000</v>
      </c>
      <c r="E238" s="93">
        <v>300000</v>
      </c>
      <c r="F238" s="93"/>
      <c r="G238" s="103"/>
      <c r="H238" s="103"/>
    </row>
    <row r="239" spans="1:8" s="33" customFormat="1">
      <c r="A239" s="30"/>
      <c r="B239" s="80"/>
      <c r="C239" s="92" t="s">
        <v>234</v>
      </c>
      <c r="D239" s="93">
        <f>+E239+F239+G239+H239</f>
        <v>-300000</v>
      </c>
      <c r="E239" s="93">
        <v>-300000</v>
      </c>
      <c r="F239" s="93"/>
      <c r="G239" s="103"/>
      <c r="H239" s="103"/>
    </row>
    <row r="240" spans="1:8" s="33" customFormat="1">
      <c r="A240" s="30"/>
      <c r="B240" s="80"/>
      <c r="C240" s="92" t="s">
        <v>235</v>
      </c>
      <c r="D240" s="93">
        <f t="shared" si="86"/>
        <v>300000</v>
      </c>
      <c r="E240" s="93">
        <v>300000</v>
      </c>
      <c r="F240" s="93"/>
      <c r="G240" s="103"/>
      <c r="H240" s="103"/>
    </row>
    <row r="241" spans="1:8" s="18" customFormat="1" ht="33">
      <c r="A241" s="19">
        <v>1236</v>
      </c>
      <c r="B241" s="46">
        <v>32006</v>
      </c>
      <c r="C241" s="49" t="s">
        <v>236</v>
      </c>
      <c r="D241" s="43">
        <f>SUM(E241:H241)</f>
        <v>-9423201.1999999993</v>
      </c>
      <c r="E241" s="43">
        <f>+E244+E245</f>
        <v>0</v>
      </c>
      <c r="F241" s="43">
        <f t="shared" ref="F241:G241" si="87">+F244+F245</f>
        <v>0</v>
      </c>
      <c r="G241" s="43">
        <f t="shared" si="87"/>
        <v>0</v>
      </c>
      <c r="H241" s="43">
        <f>-9423201.2</f>
        <v>-9423201.1999999993</v>
      </c>
    </row>
    <row r="242" spans="1:8" s="18" customFormat="1" ht="33">
      <c r="A242" s="19">
        <v>1236</v>
      </c>
      <c r="B242" s="46">
        <v>32006</v>
      </c>
      <c r="C242" s="49" t="s">
        <v>236</v>
      </c>
      <c r="D242" s="43">
        <f>SUM(E242:H242)</f>
        <v>9423201.1999999993</v>
      </c>
      <c r="E242" s="43">
        <f t="shared" ref="E242:G242" si="88">E244+E245</f>
        <v>0</v>
      </c>
      <c r="F242" s="43">
        <f t="shared" si="88"/>
        <v>0</v>
      </c>
      <c r="G242" s="43">
        <f t="shared" si="88"/>
        <v>0</v>
      </c>
      <c r="H242" s="43">
        <f>H244+H245</f>
        <v>9423201.1999999993</v>
      </c>
    </row>
    <row r="243" spans="1:8" s="41" customFormat="1" ht="17.25">
      <c r="A243" s="20"/>
      <c r="B243" s="50"/>
      <c r="C243" s="61" t="s">
        <v>32</v>
      </c>
      <c r="D243" s="79"/>
      <c r="E243" s="79"/>
      <c r="F243" s="79"/>
      <c r="G243" s="79"/>
      <c r="H243" s="79"/>
    </row>
    <row r="244" spans="1:8" s="27" customFormat="1" ht="49.5">
      <c r="A244" s="20"/>
      <c r="B244" s="50"/>
      <c r="C244" s="53" t="s">
        <v>238</v>
      </c>
      <c r="D244" s="70">
        <f>SUM(E244:H244)</f>
        <v>5923201.2000000002</v>
      </c>
      <c r="E244" s="70">
        <v>0</v>
      </c>
      <c r="F244" s="70">
        <v>0</v>
      </c>
      <c r="G244" s="70">
        <v>0</v>
      </c>
      <c r="H244" s="70">
        <v>5923201.2000000002</v>
      </c>
    </row>
    <row r="245" spans="1:8" s="27" customFormat="1" ht="33">
      <c r="A245" s="20"/>
      <c r="B245" s="50"/>
      <c r="C245" s="53" t="s">
        <v>237</v>
      </c>
      <c r="D245" s="70">
        <f>SUM(E245:H245)</f>
        <v>3500000</v>
      </c>
      <c r="E245" s="70">
        <v>0</v>
      </c>
      <c r="F245" s="70">
        <v>0</v>
      </c>
      <c r="G245" s="70">
        <v>0</v>
      </c>
      <c r="H245" s="70">
        <v>3500000</v>
      </c>
    </row>
  </sheetData>
  <customSheetViews>
    <customSheetView guid="{9860B577-824D-4711-8F5D-BB6D2BD7ABE4}" showPageBreaks="1" printArea="1" topLeftCell="A4">
      <selection activeCell="D15" sqref="D15"/>
      <pageMargins left="0.2" right="0.2" top="0.25" bottom="0.25" header="0.17" footer="0.3"/>
      <pageSetup paperSize="9" scale="80" orientation="landscape" r:id="rId1"/>
    </customSheetView>
    <customSheetView guid="{9A6482D4-9076-4DAC-9CF3-83F0132D4C69}" printArea="1" topLeftCell="A2">
      <selection activeCell="K15" sqref="K15"/>
      <pageMargins left="0.2" right="0.2" top="0.25" bottom="0.25" header="0.17" footer="0.3"/>
      <pageSetup paperSize="9" scale="80" orientation="landscape" r:id="rId2"/>
    </customSheetView>
    <customSheetView guid="{2F786DE5-388F-4F79-98D8-B9D5611A3D1D}">
      <selection sqref="A1:XFD6"/>
      <pageMargins left="0.2" right="0.2" top="0.25" bottom="0.25" header="0.17" footer="0.3"/>
      <pageSetup paperSize="9" scale="80" orientation="landscape" r:id="rId3"/>
    </customSheetView>
    <customSheetView guid="{1C7992F6-D161-4A62-8115-0345E0849384}" showPageBreaks="1" printArea="1">
      <selection activeCell="H2" sqref="H2"/>
      <pageMargins left="0.2" right="0.2" top="0.25" bottom="0.25" header="0.17" footer="0.3"/>
      <pageSetup paperSize="9" scale="80" orientation="landscape" r:id="rId4"/>
    </customSheetView>
    <customSheetView guid="{5BDDFBD1-616F-4BD6-B87A-FA4FBCD284DB}">
      <selection activeCell="C7" sqref="C7"/>
      <pageMargins left="0.2" right="0.2" top="0.25" bottom="0.25" header="0.17" footer="0.3"/>
      <pageSetup paperSize="9" scale="80" orientation="landscape" r:id="rId5"/>
    </customSheetView>
  </customSheetViews>
  <mergeCells count="22">
    <mergeCell ref="A153:A156"/>
    <mergeCell ref="B153:B156"/>
    <mergeCell ref="A168:A170"/>
    <mergeCell ref="B168:B170"/>
    <mergeCell ref="A93:A95"/>
    <mergeCell ref="B93:B95"/>
    <mergeCell ref="A102:A106"/>
    <mergeCell ref="B102:B106"/>
    <mergeCell ref="A120:A121"/>
    <mergeCell ref="B120:B121"/>
    <mergeCell ref="A76:A79"/>
    <mergeCell ref="B76:B79"/>
    <mergeCell ref="A83:A84"/>
    <mergeCell ref="B83:B84"/>
    <mergeCell ref="A88:A91"/>
    <mergeCell ref="B88:B91"/>
    <mergeCell ref="A7:H7"/>
    <mergeCell ref="A9:B9"/>
    <mergeCell ref="A65:A67"/>
    <mergeCell ref="B65:B67"/>
    <mergeCell ref="A71:A72"/>
    <mergeCell ref="B71:B72"/>
  </mergeCells>
  <pageMargins left="0.2" right="0.2" top="0.25" bottom="0.25" header="0.17" footer="0.3"/>
  <pageSetup paperSize="9" scale="80" orientation="landscape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F1" sqref="F1:F2"/>
    </sheetView>
  </sheetViews>
  <sheetFormatPr defaultColWidth="8.28515625" defaultRowHeight="17.25"/>
  <cols>
    <col min="1" max="1" width="9.7109375" style="107" bestFit="1" customWidth="1"/>
    <col min="2" max="2" width="14.28515625" style="107" bestFit="1" customWidth="1"/>
    <col min="3" max="3" width="68.42578125" style="107" customWidth="1"/>
    <col min="4" max="4" width="17" style="107" customWidth="1"/>
    <col min="5" max="5" width="17.7109375" style="107" customWidth="1"/>
    <col min="6" max="6" width="20.28515625" style="107" customWidth="1"/>
    <col min="7" max="7" width="13.7109375" style="107" customWidth="1"/>
    <col min="8" max="16384" width="8.28515625" style="107"/>
  </cols>
  <sheetData>
    <row r="1" spans="1:10">
      <c r="F1" s="2" t="s">
        <v>330</v>
      </c>
    </row>
    <row r="2" spans="1:10">
      <c r="F2" s="2" t="s">
        <v>334</v>
      </c>
    </row>
    <row r="3" spans="1:10" s="5" customFormat="1" ht="20.25" customHeight="1">
      <c r="A3" s="4"/>
      <c r="B3" s="4"/>
      <c r="D3" s="6"/>
      <c r="E3" s="6"/>
      <c r="F3" s="2"/>
    </row>
    <row r="4" spans="1:10" s="5" customFormat="1" ht="16.5">
      <c r="A4" s="4"/>
      <c r="B4" s="4"/>
      <c r="E4" s="3" t="s">
        <v>260</v>
      </c>
    </row>
    <row r="5" spans="1:10" s="5" customFormat="1" ht="18" customHeight="1">
      <c r="A5" s="4"/>
      <c r="B5" s="4"/>
      <c r="E5" s="3" t="s">
        <v>261</v>
      </c>
    </row>
    <row r="6" spans="1:10" s="106" customFormat="1"/>
    <row r="7" spans="1:10" s="106" customFormat="1" ht="36" customHeight="1">
      <c r="A7" s="220" t="s">
        <v>239</v>
      </c>
      <c r="B7" s="220"/>
      <c r="C7" s="220"/>
      <c r="D7" s="220"/>
      <c r="E7" s="220"/>
      <c r="F7" s="220"/>
    </row>
    <row r="9" spans="1:10">
      <c r="F9" s="108" t="s">
        <v>0</v>
      </c>
    </row>
    <row r="10" spans="1:10" s="109" customFormat="1" ht="40.5" customHeight="1">
      <c r="A10" s="221" t="s">
        <v>15</v>
      </c>
      <c r="B10" s="222"/>
      <c r="C10" s="227" t="s">
        <v>240</v>
      </c>
      <c r="D10" s="230" t="s">
        <v>241</v>
      </c>
      <c r="E10" s="231"/>
      <c r="F10" s="232"/>
    </row>
    <row r="11" spans="1:10" s="109" customFormat="1">
      <c r="A11" s="223"/>
      <c r="B11" s="224"/>
      <c r="C11" s="228"/>
      <c r="D11" s="230" t="s">
        <v>242</v>
      </c>
      <c r="E11" s="231"/>
      <c r="F11" s="232"/>
    </row>
    <row r="12" spans="1:10" s="109" customFormat="1">
      <c r="A12" s="225"/>
      <c r="B12" s="226"/>
      <c r="C12" s="229"/>
      <c r="D12" s="233" t="s">
        <v>243</v>
      </c>
      <c r="E12" s="235" t="s">
        <v>32</v>
      </c>
      <c r="F12" s="236"/>
    </row>
    <row r="13" spans="1:10" s="109" customFormat="1" ht="33">
      <c r="A13" s="123" t="s">
        <v>244</v>
      </c>
      <c r="B13" s="123" t="s">
        <v>19</v>
      </c>
      <c r="C13" s="124"/>
      <c r="D13" s="234"/>
      <c r="E13" s="123" t="s">
        <v>245</v>
      </c>
      <c r="F13" s="123" t="s">
        <v>246</v>
      </c>
      <c r="H13" s="110"/>
      <c r="I13" s="110"/>
      <c r="J13" s="110"/>
    </row>
    <row r="14" spans="1:10" s="114" customFormat="1" ht="16.5">
      <c r="A14" s="111"/>
      <c r="B14" s="111"/>
      <c r="C14" s="112" t="s">
        <v>33</v>
      </c>
      <c r="D14" s="113">
        <f t="shared" ref="D14" si="0">+E14+F14</f>
        <v>600000</v>
      </c>
      <c r="E14" s="113">
        <f>+E16</f>
        <v>0</v>
      </c>
      <c r="F14" s="113">
        <f>+F16</f>
        <v>600000</v>
      </c>
    </row>
    <row r="15" spans="1:10" s="116" customFormat="1" ht="16.5">
      <c r="A15" s="115"/>
      <c r="B15" s="115"/>
      <c r="C15" s="115" t="s">
        <v>32</v>
      </c>
      <c r="D15" s="115"/>
      <c r="E15" s="115"/>
      <c r="F15" s="115"/>
    </row>
    <row r="16" spans="1:10" s="116" customFormat="1" ht="16.5">
      <c r="A16" s="115"/>
      <c r="B16" s="115"/>
      <c r="C16" s="117" t="s">
        <v>247</v>
      </c>
      <c r="D16" s="118">
        <f t="shared" ref="D16:D17" si="1">+E16+F16</f>
        <v>600000</v>
      </c>
      <c r="E16" s="118">
        <f>+E17</f>
        <v>0</v>
      </c>
      <c r="F16" s="118">
        <f>+F17</f>
        <v>600000</v>
      </c>
    </row>
    <row r="17" spans="1:6" s="116" customFormat="1" ht="33">
      <c r="A17" s="115"/>
      <c r="B17" s="115"/>
      <c r="C17" s="117" t="s">
        <v>248</v>
      </c>
      <c r="D17" s="118">
        <f t="shared" si="1"/>
        <v>600000</v>
      </c>
      <c r="E17" s="118">
        <f>+E19</f>
        <v>0</v>
      </c>
      <c r="F17" s="118">
        <f>+F19</f>
        <v>600000</v>
      </c>
    </row>
    <row r="18" spans="1:6" s="116" customFormat="1" ht="16.5">
      <c r="A18" s="115"/>
      <c r="B18" s="115"/>
      <c r="C18" s="115" t="s">
        <v>32</v>
      </c>
      <c r="D18" s="115"/>
      <c r="E18" s="115"/>
      <c r="F18" s="115"/>
    </row>
    <row r="19" spans="1:6" s="119" customFormat="1">
      <c r="A19" s="125">
        <v>1192</v>
      </c>
      <c r="B19" s="117"/>
      <c r="C19" s="117" t="s">
        <v>249</v>
      </c>
      <c r="D19" s="118">
        <f t="shared" ref="D19" si="2">+E19+F19</f>
        <v>600000</v>
      </c>
      <c r="E19" s="118">
        <f>+E21</f>
        <v>0</v>
      </c>
      <c r="F19" s="118">
        <f>+F21</f>
        <v>600000</v>
      </c>
    </row>
    <row r="20" spans="1:6" s="109" customFormat="1">
      <c r="A20" s="126"/>
      <c r="B20" s="126"/>
      <c r="C20" s="126" t="s">
        <v>32</v>
      </c>
      <c r="D20" s="126"/>
      <c r="E20" s="126"/>
      <c r="F20" s="126"/>
    </row>
    <row r="21" spans="1:6" s="120" customFormat="1" ht="66">
      <c r="A21" s="111"/>
      <c r="B21" s="127">
        <v>32006</v>
      </c>
      <c r="C21" s="115" t="s">
        <v>250</v>
      </c>
      <c r="D21" s="128">
        <f t="shared" ref="D21" si="3">+E21+F21</f>
        <v>600000</v>
      </c>
      <c r="E21" s="128">
        <f>+E23</f>
        <v>0</v>
      </c>
      <c r="F21" s="128">
        <f>+F23</f>
        <v>600000</v>
      </c>
    </row>
    <row r="22" spans="1:6" s="109" customFormat="1">
      <c r="A22" s="126"/>
      <c r="B22" s="126"/>
      <c r="C22" s="126" t="s">
        <v>251</v>
      </c>
      <c r="D22" s="126"/>
      <c r="E22" s="126"/>
      <c r="F22" s="126"/>
    </row>
    <row r="23" spans="1:6" s="121" customFormat="1" ht="33">
      <c r="A23" s="115"/>
      <c r="B23" s="115"/>
      <c r="C23" s="129" t="s">
        <v>252</v>
      </c>
      <c r="D23" s="130">
        <f t="shared" ref="D23" si="4">+E23+F23</f>
        <v>600000</v>
      </c>
      <c r="E23" s="130">
        <f>+E25</f>
        <v>0</v>
      </c>
      <c r="F23" s="130">
        <f>+F25</f>
        <v>600000</v>
      </c>
    </row>
    <row r="24" spans="1:6" s="109" customFormat="1" ht="33">
      <c r="A24" s="126"/>
      <c r="B24" s="126"/>
      <c r="C24" s="126" t="s">
        <v>253</v>
      </c>
      <c r="D24" s="126"/>
      <c r="E24" s="126"/>
      <c r="F24" s="126"/>
    </row>
    <row r="25" spans="1:6" s="120" customFormat="1">
      <c r="A25" s="111"/>
      <c r="B25" s="111"/>
      <c r="C25" s="111" t="s">
        <v>254</v>
      </c>
      <c r="D25" s="128">
        <f t="shared" ref="D25:D28" si="5">+E25+F25</f>
        <v>600000</v>
      </c>
      <c r="E25" s="128">
        <f t="shared" ref="E25:F26" si="6">+E26</f>
        <v>0</v>
      </c>
      <c r="F25" s="128">
        <f t="shared" si="6"/>
        <v>600000</v>
      </c>
    </row>
    <row r="26" spans="1:6" s="109" customFormat="1">
      <c r="A26" s="126"/>
      <c r="B26" s="126"/>
      <c r="C26" s="126" t="s">
        <v>247</v>
      </c>
      <c r="D26" s="131">
        <f t="shared" si="5"/>
        <v>600000</v>
      </c>
      <c r="E26" s="131">
        <f t="shared" si="6"/>
        <v>0</v>
      </c>
      <c r="F26" s="131">
        <f t="shared" si="6"/>
        <v>600000</v>
      </c>
    </row>
    <row r="27" spans="1:6" s="109" customFormat="1">
      <c r="A27" s="126"/>
      <c r="B27" s="126"/>
      <c r="C27" s="126" t="s">
        <v>255</v>
      </c>
      <c r="D27" s="131">
        <f t="shared" si="5"/>
        <v>600000</v>
      </c>
      <c r="E27" s="131">
        <f>+E28</f>
        <v>0</v>
      </c>
      <c r="F27" s="131">
        <f>+F28</f>
        <v>600000</v>
      </c>
    </row>
    <row r="28" spans="1:6" s="109" customFormat="1">
      <c r="A28" s="126"/>
      <c r="B28" s="126"/>
      <c r="C28" s="132" t="s">
        <v>256</v>
      </c>
      <c r="D28" s="131">
        <f t="shared" si="5"/>
        <v>600000</v>
      </c>
      <c r="E28" s="131">
        <f>SUM(E29:E30)</f>
        <v>0</v>
      </c>
      <c r="F28" s="131">
        <f>SUM(F29:F30)</f>
        <v>600000</v>
      </c>
    </row>
    <row r="29" spans="1:6" s="109" customFormat="1">
      <c r="A29" s="126"/>
      <c r="B29" s="126"/>
      <c r="C29" s="132" t="s">
        <v>257</v>
      </c>
      <c r="D29" s="131">
        <f>+E29+F29</f>
        <v>200000</v>
      </c>
      <c r="E29" s="131"/>
      <c r="F29" s="131">
        <v>200000</v>
      </c>
    </row>
    <row r="30" spans="1:6" s="109" customFormat="1">
      <c r="A30" s="126"/>
      <c r="B30" s="126"/>
      <c r="C30" s="132" t="s">
        <v>258</v>
      </c>
      <c r="D30" s="131">
        <f>+E30+F30</f>
        <v>400000</v>
      </c>
      <c r="E30" s="131"/>
      <c r="F30" s="131">
        <v>400000</v>
      </c>
    </row>
  </sheetData>
  <mergeCells count="7">
    <mergeCell ref="A7:F7"/>
    <mergeCell ref="A10:B12"/>
    <mergeCell ref="C10:C12"/>
    <mergeCell ref="D10:F10"/>
    <mergeCell ref="D11:F11"/>
    <mergeCell ref="D12:D13"/>
    <mergeCell ref="E12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F3" sqref="F3"/>
    </sheetView>
  </sheetViews>
  <sheetFormatPr defaultRowHeight="12.75"/>
  <cols>
    <col min="1" max="1" width="15.28515625" customWidth="1"/>
    <col min="2" max="2" width="14" bestFit="1" customWidth="1"/>
    <col min="3" max="3" width="88" bestFit="1" customWidth="1"/>
    <col min="4" max="6" width="19.85546875" customWidth="1"/>
  </cols>
  <sheetData>
    <row r="1" spans="1:6" s="6" customFormat="1" ht="16.5">
      <c r="A1" s="177"/>
      <c r="B1" s="177"/>
      <c r="F1" s="2" t="s">
        <v>330</v>
      </c>
    </row>
    <row r="2" spans="1:6" s="6" customFormat="1" ht="16.5">
      <c r="A2" s="177"/>
      <c r="B2" s="177"/>
      <c r="F2" s="2" t="s">
        <v>335</v>
      </c>
    </row>
    <row r="3" spans="1:6" s="6" customFormat="1" ht="16.5">
      <c r="A3" s="177"/>
      <c r="B3" s="177"/>
    </row>
    <row r="4" spans="1:6" s="6" customFormat="1" ht="16.5">
      <c r="A4" s="177"/>
      <c r="B4" s="177"/>
      <c r="E4" s="3" t="s">
        <v>260</v>
      </c>
      <c r="F4" s="5"/>
    </row>
    <row r="5" spans="1:6" s="6" customFormat="1" ht="16.5">
      <c r="A5" s="177"/>
      <c r="B5" s="177"/>
      <c r="E5" s="3" t="s">
        <v>261</v>
      </c>
      <c r="F5" s="5"/>
    </row>
    <row r="6" spans="1:6" s="6" customFormat="1" ht="16.5">
      <c r="A6" s="177"/>
      <c r="B6" s="177"/>
      <c r="F6" s="148"/>
    </row>
    <row r="7" spans="1:6" s="6" customFormat="1" ht="52.5" customHeight="1">
      <c r="A7" s="220" t="s">
        <v>327</v>
      </c>
      <c r="B7" s="220"/>
      <c r="C7" s="220"/>
      <c r="D7" s="220"/>
      <c r="E7" s="220"/>
      <c r="F7" s="220"/>
    </row>
    <row r="8" spans="1:6" s="6" customFormat="1" ht="16.5">
      <c r="A8" s="177"/>
      <c r="B8" s="177"/>
      <c r="F8" s="178" t="s">
        <v>0</v>
      </c>
    </row>
    <row r="9" spans="1:6" ht="37.5" customHeight="1">
      <c r="A9" s="238" t="s">
        <v>15</v>
      </c>
      <c r="B9" s="239"/>
      <c r="C9" s="242" t="s">
        <v>295</v>
      </c>
      <c r="D9" s="242" t="s">
        <v>296</v>
      </c>
      <c r="E9" s="240" t="s">
        <v>32</v>
      </c>
      <c r="F9" s="241"/>
    </row>
    <row r="10" spans="1:6" ht="49.5">
      <c r="A10" s="179" t="s">
        <v>18</v>
      </c>
      <c r="B10" s="179" t="s">
        <v>19</v>
      </c>
      <c r="C10" s="243"/>
      <c r="D10" s="243"/>
      <c r="E10" s="180" t="s">
        <v>297</v>
      </c>
      <c r="F10" s="180" t="s">
        <v>298</v>
      </c>
    </row>
    <row r="11" spans="1:6" ht="16.5">
      <c r="A11" s="179"/>
      <c r="B11" s="179"/>
      <c r="C11" s="181" t="s">
        <v>33</v>
      </c>
      <c r="D11" s="182"/>
      <c r="E11" s="182"/>
      <c r="F11" s="182"/>
    </row>
    <row r="12" spans="1:6" ht="16.5">
      <c r="A12" s="183"/>
      <c r="B12" s="183"/>
      <c r="C12" s="184" t="s">
        <v>300</v>
      </c>
      <c r="D12" s="185">
        <f>+D13</f>
        <v>7828</v>
      </c>
      <c r="E12" s="185">
        <f t="shared" ref="E12:F12" si="0">+E13</f>
        <v>7651</v>
      </c>
      <c r="F12" s="185">
        <f t="shared" si="0"/>
        <v>177</v>
      </c>
    </row>
    <row r="13" spans="1:6" ht="33">
      <c r="A13" s="183">
        <v>1031</v>
      </c>
      <c r="B13" s="183"/>
      <c r="C13" s="184" t="s">
        <v>301</v>
      </c>
      <c r="D13" s="186">
        <f>+D15</f>
        <v>7828</v>
      </c>
      <c r="E13" s="186">
        <f t="shared" ref="E13:F13" si="1">+E15</f>
        <v>7651</v>
      </c>
      <c r="F13" s="186">
        <f t="shared" si="1"/>
        <v>177</v>
      </c>
    </row>
    <row r="14" spans="1:6" ht="16.5">
      <c r="A14" s="237" t="s">
        <v>299</v>
      </c>
      <c r="B14" s="237"/>
      <c r="C14" s="237"/>
      <c r="D14" s="237"/>
      <c r="E14" s="187"/>
      <c r="F14" s="187"/>
    </row>
    <row r="15" spans="1:6" ht="16.5">
      <c r="A15" s="183"/>
      <c r="B15" s="183">
        <v>11002</v>
      </c>
      <c r="C15" s="188" t="s">
        <v>301</v>
      </c>
      <c r="D15" s="186">
        <f>+E15+F15</f>
        <v>7828</v>
      </c>
      <c r="E15" s="186">
        <v>7651</v>
      </c>
      <c r="F15" s="186">
        <v>177</v>
      </c>
    </row>
  </sheetData>
  <mergeCells count="6">
    <mergeCell ref="A7:F7"/>
    <mergeCell ref="A14:D14"/>
    <mergeCell ref="A9:B9"/>
    <mergeCell ref="E9:F9"/>
    <mergeCell ref="C9:C10"/>
    <mergeCell ref="D9:D10"/>
  </mergeCells>
  <pageMargins left="0.7" right="0.7" top="0.75" bottom="0.75" header="0.3" footer="0.3"/>
  <pageSetup paperSize="9"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'4'!Print_Area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Vardanyan</dc:creator>
  <cp:lastModifiedBy>Artak Karapetyan</cp:lastModifiedBy>
  <cp:lastPrinted>2022-12-29T05:22:12Z</cp:lastPrinted>
  <dcterms:created xsi:type="dcterms:W3CDTF">2018-12-09T10:04:10Z</dcterms:created>
  <dcterms:modified xsi:type="dcterms:W3CDTF">2025-12-26T12:09:57Z</dcterms:modified>
</cp:coreProperties>
</file>