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Կապիտալ - բյուջե" sheetId="1" r:id="rId1"/>
  </sheets>
  <definedNames>
    <definedName name="_xlnm._FilterDatabase" localSheetId="0" hidden="1">'Կապիտալ - բյուջե'!$A$7:$H$684</definedName>
    <definedName name="_xlnm.Print_Titles" localSheetId="0">'Կապիտալ - բյուջե'!$5:$6</definedName>
  </definedNames>
  <calcPr calcId="162913" iterateDelta="1E-4"/>
</workbook>
</file>

<file path=xl/calcChain.xml><?xml version="1.0" encoding="utf-8"?>
<calcChain xmlns="http://schemas.openxmlformats.org/spreadsheetml/2006/main">
  <c r="E154" i="1" l="1"/>
  <c r="F154" i="1"/>
  <c r="G154" i="1"/>
  <c r="H154" i="1"/>
  <c r="D293" i="1" l="1"/>
  <c r="H292" i="1"/>
  <c r="H290" i="1" s="1"/>
  <c r="G292" i="1"/>
  <c r="G290" i="1" s="1"/>
  <c r="F292" i="1"/>
  <c r="F290" i="1" s="1"/>
  <c r="E292" i="1"/>
  <c r="D292" i="1" l="1"/>
  <c r="E290" i="1"/>
  <c r="D290" i="1" s="1"/>
  <c r="D26" i="1"/>
  <c r="E23" i="1"/>
  <c r="F23" i="1"/>
  <c r="H23" i="1"/>
  <c r="G23" i="1"/>
  <c r="F10" i="1"/>
  <c r="D13" i="1" l="1"/>
  <c r="D12" i="1"/>
  <c r="E10" i="1"/>
  <c r="G10" i="1"/>
  <c r="H10" i="1"/>
  <c r="D157" i="1" l="1"/>
  <c r="D154" i="1" s="1"/>
  <c r="D145" i="1" l="1"/>
  <c r="D144" i="1"/>
  <c r="D143" i="1"/>
  <c r="H142" i="1"/>
  <c r="G142" i="1"/>
  <c r="F142" i="1"/>
  <c r="E142" i="1"/>
  <c r="D141" i="1"/>
  <c r="E140" i="1"/>
  <c r="D140" i="1" s="1"/>
  <c r="D139" i="1"/>
  <c r="D138" i="1"/>
  <c r="D137" i="1"/>
  <c r="D136" i="1"/>
  <c r="D135" i="1"/>
  <c r="D134" i="1"/>
  <c r="H133" i="1"/>
  <c r="G133" i="1"/>
  <c r="F133" i="1"/>
  <c r="E133" i="1"/>
  <c r="D132" i="1"/>
  <c r="D131" i="1"/>
  <c r="D130" i="1"/>
  <c r="D129" i="1"/>
  <c r="D128" i="1"/>
  <c r="H127" i="1"/>
  <c r="G127" i="1"/>
  <c r="F127" i="1"/>
  <c r="E127" i="1"/>
  <c r="D126" i="1"/>
  <c r="D125" i="1"/>
  <c r="D124" i="1"/>
  <c r="D123" i="1" s="1"/>
  <c r="H123" i="1"/>
  <c r="G123" i="1"/>
  <c r="F123" i="1"/>
  <c r="E123" i="1"/>
  <c r="D122" i="1"/>
  <c r="D121" i="1"/>
  <c r="D120" i="1"/>
  <c r="H119" i="1"/>
  <c r="G119" i="1"/>
  <c r="F119" i="1"/>
  <c r="E119" i="1"/>
  <c r="D118" i="1"/>
  <c r="D117" i="1"/>
  <c r="D116" i="1"/>
  <c r="D115" i="1"/>
  <c r="H114" i="1"/>
  <c r="G114" i="1"/>
  <c r="F114" i="1"/>
  <c r="E114" i="1"/>
  <c r="D113" i="1"/>
  <c r="D112" i="1"/>
  <c r="D111" i="1"/>
  <c r="D110" i="1"/>
  <c r="D109" i="1"/>
  <c r="D108" i="1"/>
  <c r="D107" i="1"/>
  <c r="D106" i="1"/>
  <c r="D105" i="1"/>
  <c r="H104" i="1"/>
  <c r="G104" i="1"/>
  <c r="F104" i="1"/>
  <c r="E104" i="1"/>
  <c r="D103" i="1"/>
  <c r="D102" i="1"/>
  <c r="D101" i="1"/>
  <c r="D100" i="1"/>
  <c r="D99" i="1"/>
  <c r="D98" i="1"/>
  <c r="D97" i="1"/>
  <c r="H96" i="1"/>
  <c r="G96" i="1"/>
  <c r="F96" i="1"/>
  <c r="E96" i="1"/>
  <c r="D95" i="1"/>
  <c r="D94" i="1"/>
  <c r="D93" i="1"/>
  <c r="D92" i="1"/>
  <c r="D91" i="1"/>
  <c r="D89" i="1"/>
  <c r="D88" i="1"/>
  <c r="D84" i="1"/>
  <c r="D83" i="1" s="1"/>
  <c r="H83" i="1"/>
  <c r="G83" i="1"/>
  <c r="F83" i="1"/>
  <c r="E83" i="1"/>
  <c r="D82" i="1"/>
  <c r="D81" i="1"/>
  <c r="H80" i="1"/>
  <c r="G80" i="1"/>
  <c r="F80" i="1"/>
  <c r="E80" i="1"/>
  <c r="D79" i="1"/>
  <c r="D78" i="1" s="1"/>
  <c r="H78" i="1"/>
  <c r="G78" i="1"/>
  <c r="F78" i="1"/>
  <c r="E78" i="1"/>
  <c r="D77" i="1"/>
  <c r="D76" i="1" s="1"/>
  <c r="H76" i="1"/>
  <c r="G76" i="1"/>
  <c r="F76" i="1"/>
  <c r="E76" i="1"/>
  <c r="D75" i="1"/>
  <c r="D74" i="1"/>
  <c r="D73" i="1" s="1"/>
  <c r="H73" i="1"/>
  <c r="G73" i="1"/>
  <c r="F73" i="1"/>
  <c r="E73" i="1"/>
  <c r="D72" i="1"/>
  <c r="D71" i="1" s="1"/>
  <c r="H71" i="1"/>
  <c r="G71" i="1"/>
  <c r="F71" i="1"/>
  <c r="E71" i="1"/>
  <c r="D70" i="1"/>
  <c r="D69" i="1"/>
  <c r="H68" i="1"/>
  <c r="G68" i="1"/>
  <c r="F68" i="1"/>
  <c r="E68" i="1"/>
  <c r="D67" i="1"/>
  <c r="D66" i="1" s="1"/>
  <c r="H66" i="1"/>
  <c r="G66" i="1"/>
  <c r="F66" i="1"/>
  <c r="E66" i="1"/>
  <c r="D90" i="1" l="1"/>
  <c r="E64" i="1"/>
  <c r="E85" i="1"/>
  <c r="D142" i="1"/>
  <c r="D87" i="1"/>
  <c r="D119" i="1"/>
  <c r="D127" i="1"/>
  <c r="D104" i="1"/>
  <c r="F64" i="1"/>
  <c r="D68" i="1"/>
  <c r="G85" i="1"/>
  <c r="D96" i="1"/>
  <c r="H64" i="1"/>
  <c r="G64" i="1"/>
  <c r="H85" i="1"/>
  <c r="F85" i="1"/>
  <c r="D133" i="1"/>
  <c r="D80" i="1"/>
  <c r="D114" i="1"/>
  <c r="E146" i="1"/>
  <c r="G146" i="1"/>
  <c r="H146" i="1"/>
  <c r="D153" i="1"/>
  <c r="D152" i="1"/>
  <c r="D64" i="1" l="1"/>
  <c r="D85" i="1"/>
  <c r="E682" i="1"/>
  <c r="F682" i="1"/>
  <c r="G682" i="1"/>
  <c r="H682" i="1"/>
  <c r="D684" i="1"/>
  <c r="D682" i="1" s="1"/>
  <c r="D62" i="1" l="1"/>
  <c r="F148" i="1"/>
  <c r="F146" i="1" s="1"/>
  <c r="D149" i="1"/>
  <c r="D150" i="1"/>
  <c r="D151" i="1"/>
  <c r="D160" i="1"/>
  <c r="D161" i="1"/>
  <c r="D148" i="1" l="1"/>
  <c r="D146" i="1" s="1"/>
  <c r="F198" i="1"/>
  <c r="E602" i="1" l="1"/>
  <c r="E598" i="1"/>
  <c r="E584" i="1"/>
  <c r="E579" i="1"/>
  <c r="E577" i="1"/>
  <c r="E567" i="1"/>
  <c r="E559" i="1"/>
  <c r="E554" i="1"/>
  <c r="E548" i="1"/>
  <c r="E539" i="1"/>
  <c r="E530" i="1"/>
  <c r="E525" i="1"/>
  <c r="E517" i="1"/>
  <c r="E506" i="1"/>
  <c r="E499" i="1"/>
  <c r="E493" i="1"/>
  <c r="E484" i="1"/>
  <c r="E474" i="1"/>
  <c r="E472" i="1"/>
  <c r="E462" i="1"/>
  <c r="E458" i="1"/>
  <c r="E448" i="1"/>
  <c r="E446" i="1"/>
  <c r="E432" i="1"/>
  <c r="E424" i="1"/>
  <c r="E415" i="1"/>
  <c r="E405" i="1"/>
  <c r="E399" i="1"/>
  <c r="E383" i="1"/>
  <c r="E376" i="1"/>
  <c r="E369" i="1"/>
  <c r="E363" i="1"/>
  <c r="E357" i="1"/>
  <c r="E354" i="1" s="1"/>
  <c r="E352" i="1"/>
  <c r="E343" i="1"/>
  <c r="E338" i="1"/>
  <c r="E333" i="1"/>
  <c r="E325" i="1"/>
  <c r="E323" i="1"/>
  <c r="E321" i="1"/>
  <c r="E316" i="1"/>
  <c r="E314" i="1" s="1"/>
  <c r="E312" i="1"/>
  <c r="E310" i="1" s="1"/>
  <c r="E306" i="1"/>
  <c r="E304" i="1" s="1"/>
  <c r="E302" i="1"/>
  <c r="E300" i="1" s="1"/>
  <c r="E257" i="1"/>
  <c r="E255" i="1" s="1"/>
  <c r="G525" i="1"/>
  <c r="H525" i="1"/>
  <c r="D608" i="1"/>
  <c r="H607" i="1"/>
  <c r="D607" i="1" s="1"/>
  <c r="D606" i="1"/>
  <c r="D605" i="1"/>
  <c r="D604" i="1"/>
  <c r="D603" i="1"/>
  <c r="H602" i="1"/>
  <c r="G602" i="1"/>
  <c r="F602" i="1"/>
  <c r="D601" i="1"/>
  <c r="D600" i="1"/>
  <c r="D599" i="1"/>
  <c r="H598" i="1"/>
  <c r="G598" i="1"/>
  <c r="F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H584" i="1"/>
  <c r="G584" i="1"/>
  <c r="F584" i="1"/>
  <c r="D583" i="1"/>
  <c r="D582" i="1"/>
  <c r="D581" i="1"/>
  <c r="D580" i="1"/>
  <c r="H579" i="1"/>
  <c r="G579" i="1"/>
  <c r="F579" i="1"/>
  <c r="D578" i="1"/>
  <c r="H577" i="1"/>
  <c r="G577" i="1"/>
  <c r="F577" i="1"/>
  <c r="D576" i="1"/>
  <c r="D575" i="1"/>
  <c r="D574" i="1"/>
  <c r="D573" i="1"/>
  <c r="D572" i="1"/>
  <c r="D571" i="1"/>
  <c r="D570" i="1"/>
  <c r="D569" i="1"/>
  <c r="D568" i="1"/>
  <c r="H567" i="1"/>
  <c r="G567" i="1"/>
  <c r="F567" i="1"/>
  <c r="D566" i="1"/>
  <c r="D565" i="1"/>
  <c r="D564" i="1"/>
  <c r="D563" i="1"/>
  <c r="D562" i="1"/>
  <c r="D561" i="1"/>
  <c r="D560" i="1"/>
  <c r="H559" i="1"/>
  <c r="G559" i="1"/>
  <c r="F559" i="1"/>
  <c r="D558" i="1"/>
  <c r="D557" i="1"/>
  <c r="D556" i="1"/>
  <c r="D555" i="1"/>
  <c r="H554" i="1"/>
  <c r="G554" i="1"/>
  <c r="F554" i="1"/>
  <c r="D553" i="1"/>
  <c r="D552" i="1"/>
  <c r="D551" i="1"/>
  <c r="D550" i="1"/>
  <c r="D549" i="1"/>
  <c r="H548" i="1"/>
  <c r="G548" i="1"/>
  <c r="F548" i="1"/>
  <c r="D547" i="1"/>
  <c r="D546" i="1"/>
  <c r="D545" i="1"/>
  <c r="D544" i="1"/>
  <c r="D543" i="1"/>
  <c r="D542" i="1"/>
  <c r="D541" i="1"/>
  <c r="D540" i="1"/>
  <c r="H539" i="1"/>
  <c r="G539" i="1"/>
  <c r="F539" i="1"/>
  <c r="D538" i="1"/>
  <c r="D535" i="1"/>
  <c r="F534" i="1"/>
  <c r="F530" i="1" s="1"/>
  <c r="D533" i="1"/>
  <c r="D532" i="1"/>
  <c r="D531" i="1"/>
  <c r="H530" i="1"/>
  <c r="G530" i="1"/>
  <c r="D529" i="1"/>
  <c r="D528" i="1"/>
  <c r="F527" i="1"/>
  <c r="D527" i="1" s="1"/>
  <c r="F526" i="1"/>
  <c r="D526" i="1" s="1"/>
  <c r="F524" i="1"/>
  <c r="D524" i="1" s="1"/>
  <c r="F523" i="1"/>
  <c r="D523" i="1" s="1"/>
  <c r="D522" i="1"/>
  <c r="D521" i="1"/>
  <c r="F520" i="1"/>
  <c r="D520" i="1" s="1"/>
  <c r="F519" i="1"/>
  <c r="D519" i="1" s="1"/>
  <c r="D518" i="1"/>
  <c r="H517" i="1"/>
  <c r="G517" i="1"/>
  <c r="D516" i="1"/>
  <c r="F515" i="1"/>
  <c r="D515" i="1" s="1"/>
  <c r="F514" i="1"/>
  <c r="D514" i="1" s="1"/>
  <c r="F513" i="1"/>
  <c r="D513" i="1" s="1"/>
  <c r="F512" i="1"/>
  <c r="D512" i="1" s="1"/>
  <c r="F511" i="1"/>
  <c r="D511" i="1" s="1"/>
  <c r="D510" i="1"/>
  <c r="F509" i="1"/>
  <c r="D509" i="1" s="1"/>
  <c r="F508" i="1"/>
  <c r="D508" i="1" s="1"/>
  <c r="D507" i="1"/>
  <c r="H506" i="1"/>
  <c r="G506" i="1"/>
  <c r="D505" i="1"/>
  <c r="D504" i="1"/>
  <c r="D503" i="1"/>
  <c r="D502" i="1"/>
  <c r="D501" i="1"/>
  <c r="F500" i="1"/>
  <c r="F499" i="1" s="1"/>
  <c r="H499" i="1"/>
  <c r="G499" i="1"/>
  <c r="D498" i="1"/>
  <c r="D497" i="1"/>
  <c r="F496" i="1"/>
  <c r="D496" i="1" s="1"/>
  <c r="D495" i="1"/>
  <c r="F494" i="1"/>
  <c r="D494" i="1" s="1"/>
  <c r="H493" i="1"/>
  <c r="G493" i="1"/>
  <c r="F492" i="1"/>
  <c r="D492" i="1" s="1"/>
  <c r="F491" i="1"/>
  <c r="D491" i="1" s="1"/>
  <c r="F490" i="1"/>
  <c r="D490" i="1" s="1"/>
  <c r="F489" i="1"/>
  <c r="D489" i="1" s="1"/>
  <c r="F488" i="1"/>
  <c r="D488" i="1" s="1"/>
  <c r="F487" i="1"/>
  <c r="D487" i="1" s="1"/>
  <c r="F486" i="1"/>
  <c r="D486" i="1" s="1"/>
  <c r="F485" i="1"/>
  <c r="D485" i="1" s="1"/>
  <c r="H484" i="1"/>
  <c r="G484" i="1"/>
  <c r="D483" i="1"/>
  <c r="D482" i="1"/>
  <c r="D481" i="1"/>
  <c r="D480" i="1"/>
  <c r="F479" i="1"/>
  <c r="D479" i="1" s="1"/>
  <c r="F478" i="1"/>
  <c r="D478" i="1" s="1"/>
  <c r="F477" i="1"/>
  <c r="D477" i="1" s="1"/>
  <c r="F476" i="1"/>
  <c r="D476" i="1" s="1"/>
  <c r="F475" i="1"/>
  <c r="D475" i="1" s="1"/>
  <c r="H474" i="1"/>
  <c r="G474" i="1"/>
  <c r="D473" i="1"/>
  <c r="H472" i="1"/>
  <c r="G472" i="1"/>
  <c r="F472" i="1"/>
  <c r="D471" i="1"/>
  <c r="D470" i="1"/>
  <c r="D469" i="1"/>
  <c r="D468" i="1"/>
  <c r="D467" i="1"/>
  <c r="D466" i="1"/>
  <c r="D465" i="1"/>
  <c r="D464" i="1"/>
  <c r="F463" i="1"/>
  <c r="F462" i="1" s="1"/>
  <c r="H462" i="1"/>
  <c r="G462" i="1"/>
  <c r="F461" i="1"/>
  <c r="F458" i="1" s="1"/>
  <c r="D460" i="1"/>
  <c r="D459" i="1"/>
  <c r="H458" i="1"/>
  <c r="G458" i="1"/>
  <c r="F457" i="1"/>
  <c r="D457" i="1" s="1"/>
  <c r="D454" i="1"/>
  <c r="D453" i="1"/>
  <c r="D452" i="1"/>
  <c r="D451" i="1"/>
  <c r="D450" i="1"/>
  <c r="D449" i="1"/>
  <c r="H448" i="1"/>
  <c r="G448" i="1"/>
  <c r="F448" i="1"/>
  <c r="D447" i="1"/>
  <c r="H446" i="1"/>
  <c r="G446" i="1"/>
  <c r="F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H432" i="1"/>
  <c r="G432" i="1"/>
  <c r="F432" i="1"/>
  <c r="D431" i="1"/>
  <c r="D430" i="1"/>
  <c r="D429" i="1"/>
  <c r="D428" i="1"/>
  <c r="D427" i="1"/>
  <c r="D426" i="1"/>
  <c r="D425" i="1"/>
  <c r="H424" i="1"/>
  <c r="G424" i="1"/>
  <c r="F424" i="1"/>
  <c r="D423" i="1"/>
  <c r="D422" i="1"/>
  <c r="D421" i="1"/>
  <c r="D420" i="1"/>
  <c r="D419" i="1"/>
  <c r="D418" i="1"/>
  <c r="D417" i="1"/>
  <c r="D416" i="1"/>
  <c r="H415" i="1"/>
  <c r="G415" i="1"/>
  <c r="F415" i="1"/>
  <c r="G414" i="1"/>
  <c r="G405" i="1" s="1"/>
  <c r="D413" i="1"/>
  <c r="D412" i="1"/>
  <c r="D411" i="1"/>
  <c r="D410" i="1"/>
  <c r="D409" i="1"/>
  <c r="D408" i="1"/>
  <c r="D407" i="1"/>
  <c r="D406" i="1"/>
  <c r="H405" i="1"/>
  <c r="F405" i="1"/>
  <c r="G404" i="1"/>
  <c r="D404" i="1" s="1"/>
  <c r="G403" i="1"/>
  <c r="D403" i="1" s="1"/>
  <c r="D402" i="1"/>
  <c r="D401" i="1"/>
  <c r="D400" i="1"/>
  <c r="H399" i="1"/>
  <c r="F399" i="1"/>
  <c r="G398" i="1"/>
  <c r="D398" i="1" s="1"/>
  <c r="G397" i="1"/>
  <c r="D397" i="1" s="1"/>
  <c r="G396" i="1"/>
  <c r="D396" i="1" s="1"/>
  <c r="G395" i="1"/>
  <c r="D395" i="1" s="1"/>
  <c r="G394" i="1"/>
  <c r="D394" i="1" s="1"/>
  <c r="G393" i="1"/>
  <c r="D393" i="1" s="1"/>
  <c r="G392" i="1"/>
  <c r="D392" i="1" s="1"/>
  <c r="D391" i="1"/>
  <c r="D390" i="1"/>
  <c r="D389" i="1"/>
  <c r="D388" i="1"/>
  <c r="D387" i="1"/>
  <c r="D386" i="1"/>
  <c r="D385" i="1"/>
  <c r="D384" i="1"/>
  <c r="H383" i="1"/>
  <c r="F383" i="1"/>
  <c r="D382" i="1"/>
  <c r="D381" i="1"/>
  <c r="D380" i="1"/>
  <c r="D379" i="1"/>
  <c r="D378" i="1"/>
  <c r="D377" i="1"/>
  <c r="H376" i="1"/>
  <c r="G376" i="1"/>
  <c r="F376" i="1"/>
  <c r="D375" i="1"/>
  <c r="D374" i="1"/>
  <c r="D373" i="1"/>
  <c r="D372" i="1"/>
  <c r="D371" i="1"/>
  <c r="D370" i="1"/>
  <c r="H369" i="1"/>
  <c r="G369" i="1"/>
  <c r="F369" i="1"/>
  <c r="G368" i="1"/>
  <c r="D368" i="1" s="1"/>
  <c r="G367" i="1"/>
  <c r="D367" i="1" s="1"/>
  <c r="G366" i="1"/>
  <c r="D366" i="1" s="1"/>
  <c r="G365" i="1"/>
  <c r="D365" i="1" s="1"/>
  <c r="G364" i="1"/>
  <c r="D364" i="1" s="1"/>
  <c r="H363" i="1"/>
  <c r="F363" i="1"/>
  <c r="G362" i="1"/>
  <c r="D362" i="1" s="1"/>
  <c r="D361" i="1"/>
  <c r="D358" i="1"/>
  <c r="H357" i="1"/>
  <c r="H354" i="1" s="1"/>
  <c r="G357" i="1"/>
  <c r="G354" i="1" s="1"/>
  <c r="F357" i="1"/>
  <c r="F354" i="1" s="1"/>
  <c r="D356" i="1"/>
  <c r="D353" i="1"/>
  <c r="H352" i="1"/>
  <c r="G352" i="1"/>
  <c r="F352" i="1"/>
  <c r="E351" i="1"/>
  <c r="D351" i="1" s="1"/>
  <c r="D350" i="1"/>
  <c r="E349" i="1"/>
  <c r="D349" i="1" s="1"/>
  <c r="D348" i="1"/>
  <c r="E347" i="1"/>
  <c r="D347" i="1" s="1"/>
  <c r="E346" i="1"/>
  <c r="D346" i="1" s="1"/>
  <c r="H345" i="1"/>
  <c r="G345" i="1"/>
  <c r="F345" i="1"/>
  <c r="D344" i="1"/>
  <c r="H343" i="1"/>
  <c r="G343" i="1"/>
  <c r="F343" i="1"/>
  <c r="E342" i="1"/>
  <c r="D342" i="1" s="1"/>
  <c r="E341" i="1"/>
  <c r="D341" i="1" s="1"/>
  <c r="H340" i="1"/>
  <c r="G340" i="1"/>
  <c r="F340" i="1"/>
  <c r="D339" i="1"/>
  <c r="H338" i="1"/>
  <c r="G338" i="1"/>
  <c r="F338" i="1"/>
  <c r="D337" i="1"/>
  <c r="D336" i="1"/>
  <c r="D335" i="1"/>
  <c r="D334" i="1"/>
  <c r="H333" i="1"/>
  <c r="G333" i="1"/>
  <c r="F333" i="1"/>
  <c r="D332" i="1"/>
  <c r="D329" i="1"/>
  <c r="D328" i="1"/>
  <c r="D327" i="1"/>
  <c r="D326" i="1"/>
  <c r="H325" i="1"/>
  <c r="G325" i="1"/>
  <c r="F325" i="1"/>
  <c r="D324" i="1"/>
  <c r="H323" i="1"/>
  <c r="G323" i="1"/>
  <c r="F323" i="1"/>
  <c r="D322" i="1"/>
  <c r="H321" i="1"/>
  <c r="G321" i="1"/>
  <c r="F321" i="1"/>
  <c r="D318" i="1"/>
  <c r="D317" i="1"/>
  <c r="H316" i="1"/>
  <c r="H314" i="1" s="1"/>
  <c r="G316" i="1"/>
  <c r="G314" i="1" s="1"/>
  <c r="F316" i="1"/>
  <c r="F314" i="1" s="1"/>
  <c r="D313" i="1"/>
  <c r="H312" i="1"/>
  <c r="H310" i="1" s="1"/>
  <c r="G312" i="1"/>
  <c r="G310" i="1" s="1"/>
  <c r="F312" i="1"/>
  <c r="F310" i="1" s="1"/>
  <c r="D309" i="1"/>
  <c r="D308" i="1"/>
  <c r="D307" i="1"/>
  <c r="H306" i="1"/>
  <c r="G306" i="1"/>
  <c r="G304" i="1" s="1"/>
  <c r="F306" i="1"/>
  <c r="F304" i="1" s="1"/>
  <c r="D303" i="1"/>
  <c r="H302" i="1"/>
  <c r="H300" i="1" s="1"/>
  <c r="G302" i="1"/>
  <c r="F302" i="1"/>
  <c r="F300" i="1" s="1"/>
  <c r="D299" i="1"/>
  <c r="H298" i="1"/>
  <c r="G298" i="1"/>
  <c r="F298" i="1"/>
  <c r="E298" i="1"/>
  <c r="D297" i="1"/>
  <c r="H296" i="1"/>
  <c r="G296" i="1"/>
  <c r="F296" i="1"/>
  <c r="E296" i="1"/>
  <c r="D289" i="1"/>
  <c r="H288" i="1"/>
  <c r="G288" i="1"/>
  <c r="F288" i="1"/>
  <c r="E288" i="1"/>
  <c r="D287" i="1"/>
  <c r="H286" i="1"/>
  <c r="G286" i="1"/>
  <c r="F286" i="1"/>
  <c r="E286" i="1"/>
  <c r="D283" i="1"/>
  <c r="H282" i="1"/>
  <c r="G282" i="1"/>
  <c r="F282" i="1"/>
  <c r="E282" i="1"/>
  <c r="D281" i="1"/>
  <c r="D280" i="1"/>
  <c r="H279" i="1"/>
  <c r="G279" i="1"/>
  <c r="F279" i="1"/>
  <c r="E279" i="1"/>
  <c r="E278" i="1"/>
  <c r="E276" i="1" s="1"/>
  <c r="D277" i="1"/>
  <c r="H276" i="1"/>
  <c r="G276" i="1"/>
  <c r="F276" i="1"/>
  <c r="D275" i="1"/>
  <c r="H274" i="1"/>
  <c r="G274" i="1"/>
  <c r="F274" i="1"/>
  <c r="E274" i="1"/>
  <c r="D273" i="1"/>
  <c r="D272" i="1"/>
  <c r="H271" i="1"/>
  <c r="G271" i="1"/>
  <c r="F271" i="1"/>
  <c r="E271" i="1"/>
  <c r="D270" i="1"/>
  <c r="D269" i="1"/>
  <c r="H268" i="1"/>
  <c r="G268" i="1"/>
  <c r="F268" i="1"/>
  <c r="E268" i="1"/>
  <c r="E265" i="1"/>
  <c r="D265" i="1" s="1"/>
  <c r="H264" i="1"/>
  <c r="G264" i="1"/>
  <c r="F264" i="1"/>
  <c r="D263" i="1"/>
  <c r="H262" i="1"/>
  <c r="G262" i="1"/>
  <c r="F262" i="1"/>
  <c r="E262" i="1"/>
  <c r="D259" i="1"/>
  <c r="D258" i="1"/>
  <c r="H257" i="1"/>
  <c r="H255" i="1" s="1"/>
  <c r="G257" i="1"/>
  <c r="G255" i="1" s="1"/>
  <c r="F257" i="1"/>
  <c r="F255" i="1" s="1"/>
  <c r="D254" i="1"/>
  <c r="H253" i="1"/>
  <c r="G253" i="1"/>
  <c r="F253" i="1"/>
  <c r="E253" i="1"/>
  <c r="D252" i="1"/>
  <c r="H251" i="1"/>
  <c r="G251" i="1"/>
  <c r="F251" i="1"/>
  <c r="E251" i="1"/>
  <c r="D250" i="1"/>
  <c r="H249" i="1"/>
  <c r="G249" i="1"/>
  <c r="F249" i="1"/>
  <c r="E249" i="1"/>
  <c r="D246" i="1"/>
  <c r="H245" i="1"/>
  <c r="H243" i="1" s="1"/>
  <c r="G245" i="1"/>
  <c r="G243" i="1" s="1"/>
  <c r="F245" i="1"/>
  <c r="F243" i="1" s="1"/>
  <c r="E245" i="1"/>
  <c r="E243" i="1" s="1"/>
  <c r="D242" i="1"/>
  <c r="H241" i="1"/>
  <c r="G241" i="1"/>
  <c r="F241" i="1"/>
  <c r="E241" i="1"/>
  <c r="D240" i="1"/>
  <c r="H239" i="1"/>
  <c r="G239" i="1"/>
  <c r="F239" i="1"/>
  <c r="E239" i="1"/>
  <c r="D238" i="1"/>
  <c r="H237" i="1"/>
  <c r="G237" i="1"/>
  <c r="F237" i="1"/>
  <c r="E237" i="1"/>
  <c r="D236" i="1"/>
  <c r="D235" i="1"/>
  <c r="D234" i="1"/>
  <c r="D233" i="1"/>
  <c r="D232" i="1"/>
  <c r="D231" i="1"/>
  <c r="H230" i="1"/>
  <c r="G230" i="1"/>
  <c r="F230" i="1"/>
  <c r="E230" i="1"/>
  <c r="D227" i="1"/>
  <c r="D226" i="1"/>
  <c r="D225" i="1"/>
  <c r="H224" i="1"/>
  <c r="G224" i="1"/>
  <c r="F224" i="1"/>
  <c r="E224" i="1"/>
  <c r="D223" i="1"/>
  <c r="D222" i="1"/>
  <c r="D221" i="1"/>
  <c r="H220" i="1"/>
  <c r="G220" i="1"/>
  <c r="F220" i="1"/>
  <c r="E220" i="1"/>
  <c r="D219" i="1"/>
  <c r="H218" i="1"/>
  <c r="G218" i="1"/>
  <c r="F218" i="1"/>
  <c r="E218" i="1"/>
  <c r="D217" i="1"/>
  <c r="D216" i="1"/>
  <c r="H215" i="1"/>
  <c r="G215" i="1"/>
  <c r="F215" i="1"/>
  <c r="E215" i="1"/>
  <c r="D214" i="1"/>
  <c r="H213" i="1"/>
  <c r="G213" i="1"/>
  <c r="F213" i="1"/>
  <c r="E213" i="1"/>
  <c r="D212" i="1"/>
  <c r="D211" i="1"/>
  <c r="D210" i="1"/>
  <c r="H209" i="1"/>
  <c r="G209" i="1"/>
  <c r="F209" i="1"/>
  <c r="E209" i="1"/>
  <c r="D208" i="1"/>
  <c r="H207" i="1"/>
  <c r="G207" i="1"/>
  <c r="F207" i="1"/>
  <c r="E207" i="1"/>
  <c r="D206" i="1"/>
  <c r="H205" i="1"/>
  <c r="G205" i="1"/>
  <c r="F205" i="1"/>
  <c r="E205" i="1"/>
  <c r="D204" i="1"/>
  <c r="D203" i="1"/>
  <c r="D202" i="1"/>
  <c r="H201" i="1"/>
  <c r="G201" i="1"/>
  <c r="F201" i="1"/>
  <c r="E201" i="1"/>
  <c r="D200" i="1"/>
  <c r="D199" i="1"/>
  <c r="H198" i="1"/>
  <c r="G198" i="1"/>
  <c r="E198" i="1"/>
  <c r="D193" i="1"/>
  <c r="H192" i="1"/>
  <c r="G192" i="1"/>
  <c r="F192" i="1"/>
  <c r="E192" i="1"/>
  <c r="G191" i="1"/>
  <c r="D191" i="1" s="1"/>
  <c r="G190" i="1"/>
  <c r="D190" i="1" s="1"/>
  <c r="E188" i="1"/>
  <c r="D189" i="1"/>
  <c r="H188" i="1"/>
  <c r="F188" i="1"/>
  <c r="G187" i="1"/>
  <c r="G186" i="1" s="1"/>
  <c r="H186" i="1"/>
  <c r="F186" i="1"/>
  <c r="E186" i="1"/>
  <c r="D185" i="1"/>
  <c r="H184" i="1"/>
  <c r="G184" i="1"/>
  <c r="F184" i="1"/>
  <c r="E184" i="1"/>
  <c r="D183" i="1"/>
  <c r="H182" i="1"/>
  <c r="G182" i="1"/>
  <c r="F182" i="1"/>
  <c r="E182" i="1"/>
  <c r="D181" i="1"/>
  <c r="H180" i="1"/>
  <c r="G180" i="1"/>
  <c r="F180" i="1"/>
  <c r="E180" i="1"/>
  <c r="D179" i="1"/>
  <c r="H178" i="1"/>
  <c r="G178" i="1"/>
  <c r="F178" i="1"/>
  <c r="E178" i="1"/>
  <c r="D175" i="1"/>
  <c r="D174" i="1"/>
  <c r="H173" i="1"/>
  <c r="G173" i="1"/>
  <c r="F173" i="1"/>
  <c r="E173" i="1"/>
  <c r="D172" i="1"/>
  <c r="D171" i="1"/>
  <c r="H170" i="1"/>
  <c r="G170" i="1"/>
  <c r="F170" i="1"/>
  <c r="E170" i="1"/>
  <c r="F169" i="1"/>
  <c r="D169" i="1" s="1"/>
  <c r="H168" i="1"/>
  <c r="G168" i="1"/>
  <c r="E168" i="1"/>
  <c r="D167" i="1"/>
  <c r="H166" i="1"/>
  <c r="G166" i="1"/>
  <c r="F166" i="1"/>
  <c r="E166" i="1"/>
  <c r="D165" i="1"/>
  <c r="H164" i="1"/>
  <c r="G164" i="1"/>
  <c r="F164" i="1"/>
  <c r="E164" i="1"/>
  <c r="H162" i="1" l="1"/>
  <c r="E266" i="1"/>
  <c r="E162" i="1"/>
  <c r="G162" i="1"/>
  <c r="E294" i="1"/>
  <c r="D463" i="1"/>
  <c r="E228" i="1"/>
  <c r="E284" i="1"/>
  <c r="D534" i="1"/>
  <c r="E345" i="1"/>
  <c r="D345" i="1" s="1"/>
  <c r="E176" i="1"/>
  <c r="E196" i="1"/>
  <c r="E247" i="1"/>
  <c r="D215" i="1"/>
  <c r="E319" i="1"/>
  <c r="D584" i="1"/>
  <c r="D278" i="1"/>
  <c r="F525" i="1"/>
  <c r="D525" i="1" s="1"/>
  <c r="E340" i="1"/>
  <c r="D198" i="1"/>
  <c r="D500" i="1"/>
  <c r="D577" i="1"/>
  <c r="D602" i="1"/>
  <c r="E536" i="1"/>
  <c r="E455" i="1"/>
  <c r="E359" i="1"/>
  <c r="D325" i="1"/>
  <c r="D321" i="1"/>
  <c r="D274" i="1"/>
  <c r="D312" i="1"/>
  <c r="D220" i="1"/>
  <c r="D257" i="1"/>
  <c r="D164" i="1"/>
  <c r="G188" i="1"/>
  <c r="G176" i="1" s="1"/>
  <c r="D251" i="1"/>
  <c r="D276" i="1"/>
  <c r="D245" i="1"/>
  <c r="D338" i="1"/>
  <c r="D249" i="1"/>
  <c r="F330" i="1"/>
  <c r="F176" i="1"/>
  <c r="D262" i="1"/>
  <c r="F168" i="1"/>
  <c r="D168" i="1" s="1"/>
  <c r="D201" i="1"/>
  <c r="D218" i="1"/>
  <c r="D306" i="1"/>
  <c r="F319" i="1"/>
  <c r="F320" i="1" s="1"/>
  <c r="G330" i="1"/>
  <c r="G399" i="1"/>
  <c r="D399" i="1" s="1"/>
  <c r="F284" i="1"/>
  <c r="D253" i="1"/>
  <c r="D414" i="1"/>
  <c r="D499" i="1"/>
  <c r="D302" i="1"/>
  <c r="H330" i="1"/>
  <c r="G455" i="1"/>
  <c r="G228" i="1"/>
  <c r="H228" i="1"/>
  <c r="F228" i="1"/>
  <c r="D296" i="1"/>
  <c r="H304" i="1"/>
  <c r="D304" i="1" s="1"/>
  <c r="D352" i="1"/>
  <c r="D579" i="1"/>
  <c r="H284" i="1"/>
  <c r="D448" i="1"/>
  <c r="F294" i="1"/>
  <c r="H536" i="1"/>
  <c r="D187" i="1"/>
  <c r="D271" i="1"/>
  <c r="G294" i="1"/>
  <c r="D323" i="1"/>
  <c r="D357" i="1"/>
  <c r="D432" i="1"/>
  <c r="D282" i="1"/>
  <c r="D170" i="1"/>
  <c r="D343" i="1"/>
  <c r="D415" i="1"/>
  <c r="D424" i="1"/>
  <c r="D186" i="1"/>
  <c r="D192" i="1"/>
  <c r="F359" i="1"/>
  <c r="D472" i="1"/>
  <c r="D224" i="1"/>
  <c r="D310" i="1"/>
  <c r="H359" i="1"/>
  <c r="D567" i="1"/>
  <c r="D239" i="1"/>
  <c r="D462" i="1"/>
  <c r="H455" i="1"/>
  <c r="D559" i="1"/>
  <c r="D209" i="1"/>
  <c r="D405" i="1"/>
  <c r="G196" i="1"/>
  <c r="H247" i="1"/>
  <c r="D268" i="1"/>
  <c r="G300" i="1"/>
  <c r="D300" i="1" s="1"/>
  <c r="F474" i="1"/>
  <c r="D474" i="1" s="1"/>
  <c r="F517" i="1"/>
  <c r="D517" i="1" s="1"/>
  <c r="D173" i="1"/>
  <c r="D184" i="1"/>
  <c r="D205" i="1"/>
  <c r="G266" i="1"/>
  <c r="G363" i="1"/>
  <c r="D363" i="1" s="1"/>
  <c r="G260" i="1"/>
  <c r="H266" i="1"/>
  <c r="D316" i="1"/>
  <c r="G319" i="1"/>
  <c r="D180" i="1"/>
  <c r="H196" i="1"/>
  <c r="D237" i="1"/>
  <c r="F247" i="1"/>
  <c r="H260" i="1"/>
  <c r="D314" i="1"/>
  <c r="H319" i="1"/>
  <c r="D461" i="1"/>
  <c r="D548" i="1"/>
  <c r="D554" i="1"/>
  <c r="D207" i="1"/>
  <c r="D288" i="1"/>
  <c r="F196" i="1"/>
  <c r="D241" i="1"/>
  <c r="F260" i="1"/>
  <c r="D166" i="1"/>
  <c r="D230" i="1"/>
  <c r="G247" i="1"/>
  <c r="D279" i="1"/>
  <c r="D286" i="1"/>
  <c r="D376" i="1"/>
  <c r="F536" i="1"/>
  <c r="D598" i="1"/>
  <c r="D182" i="1"/>
  <c r="D243" i="1"/>
  <c r="D178" i="1"/>
  <c r="D213" i="1"/>
  <c r="E264" i="1"/>
  <c r="D264" i="1" s="1"/>
  <c r="D446" i="1"/>
  <c r="D539" i="1"/>
  <c r="D458" i="1"/>
  <c r="D530" i="1"/>
  <c r="D354" i="1"/>
  <c r="G284" i="1"/>
  <c r="D298" i="1"/>
  <c r="F266" i="1"/>
  <c r="D333" i="1"/>
  <c r="F493" i="1"/>
  <c r="D493" i="1" s="1"/>
  <c r="F506" i="1"/>
  <c r="D506" i="1" s="1"/>
  <c r="D369" i="1"/>
  <c r="G536" i="1"/>
  <c r="H176" i="1"/>
  <c r="D255" i="1"/>
  <c r="H294" i="1"/>
  <c r="G383" i="1"/>
  <c r="D383" i="1" s="1"/>
  <c r="F484" i="1"/>
  <c r="D484" i="1" s="1"/>
  <c r="D31" i="1"/>
  <c r="D32" i="1"/>
  <c r="D30" i="1"/>
  <c r="E28" i="1"/>
  <c r="F28" i="1"/>
  <c r="H28" i="1"/>
  <c r="G28" i="1"/>
  <c r="F162" i="1" l="1"/>
  <c r="D188" i="1"/>
  <c r="E194" i="1"/>
  <c r="E330" i="1"/>
  <c r="D330" i="1" s="1"/>
  <c r="D340" i="1"/>
  <c r="E260" i="1"/>
  <c r="D294" i="1"/>
  <c r="D284" i="1"/>
  <c r="D228" i="1"/>
  <c r="F194" i="1"/>
  <c r="H194" i="1"/>
  <c r="H158" i="1" s="1"/>
  <c r="D196" i="1"/>
  <c r="D266" i="1"/>
  <c r="G359" i="1"/>
  <c r="D359" i="1" s="1"/>
  <c r="D247" i="1"/>
  <c r="D319" i="1"/>
  <c r="G194" i="1"/>
  <c r="D176" i="1"/>
  <c r="D536" i="1"/>
  <c r="F455" i="1"/>
  <c r="D455" i="1" s="1"/>
  <c r="D28" i="1"/>
  <c r="D57" i="1"/>
  <c r="D55" i="1" s="1"/>
  <c r="F55" i="1"/>
  <c r="G55" i="1"/>
  <c r="H55" i="1"/>
  <c r="E55" i="1"/>
  <c r="G158" i="1" l="1"/>
  <c r="E158" i="1"/>
  <c r="F158" i="1"/>
  <c r="D162" i="1"/>
  <c r="D260" i="1"/>
  <c r="D194" i="1"/>
  <c r="E52" i="1"/>
  <c r="G52" i="1"/>
  <c r="H52" i="1"/>
  <c r="F52" i="1"/>
  <c r="D54" i="1"/>
  <c r="D52" i="1" s="1"/>
  <c r="D40" i="1"/>
  <c r="D41" i="1"/>
  <c r="D42" i="1"/>
  <c r="D43" i="1"/>
  <c r="D44" i="1"/>
  <c r="D45" i="1"/>
  <c r="D46" i="1"/>
  <c r="D47" i="1"/>
  <c r="D48" i="1"/>
  <c r="D49" i="1"/>
  <c r="D50" i="1"/>
  <c r="D51" i="1"/>
  <c r="D39" i="1"/>
  <c r="E37" i="1"/>
  <c r="G37" i="1"/>
  <c r="H37" i="1"/>
  <c r="F37" i="1"/>
  <c r="E14" i="1"/>
  <c r="D25" i="1"/>
  <c r="D23" i="1" s="1"/>
  <c r="G14" i="1"/>
  <c r="D17" i="1"/>
  <c r="D18" i="1"/>
  <c r="D19" i="1"/>
  <c r="D20" i="1"/>
  <c r="D21" i="1"/>
  <c r="D22" i="1"/>
  <c r="D16" i="1"/>
  <c r="H14" i="1"/>
  <c r="F14" i="1"/>
  <c r="D10" i="1"/>
  <c r="G8" i="1" l="1"/>
  <c r="E8" i="1"/>
  <c r="F8" i="1"/>
  <c r="H8" i="1"/>
  <c r="D158" i="1"/>
  <c r="D14" i="1"/>
  <c r="D37" i="1"/>
  <c r="D8" i="1" l="1"/>
  <c r="H62" i="1"/>
  <c r="E62" i="1"/>
  <c r="G62" i="1"/>
  <c r="F62" i="1"/>
  <c r="G672" i="1" l="1"/>
  <c r="E675" i="1"/>
  <c r="H656" i="1"/>
  <c r="E656" i="1"/>
  <c r="F656" i="1"/>
  <c r="G656" i="1"/>
  <c r="F672" i="1"/>
  <c r="F675" i="1"/>
  <c r="D678" i="1"/>
  <c r="D677" i="1"/>
  <c r="G675" i="1"/>
  <c r="H675" i="1"/>
  <c r="D674" i="1"/>
  <c r="D672" i="1" s="1"/>
  <c r="E672" i="1"/>
  <c r="H672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58" i="1"/>
  <c r="D675" i="1" l="1"/>
  <c r="H654" i="1"/>
  <c r="H7" i="1" s="1"/>
  <c r="G654" i="1"/>
  <c r="G7" i="1" s="1"/>
  <c r="E654" i="1"/>
  <c r="D656" i="1"/>
  <c r="F654" i="1"/>
  <c r="F7" i="1" s="1"/>
  <c r="D654" i="1" l="1"/>
  <c r="D7" i="1" s="1"/>
  <c r="E7" i="1"/>
</calcChain>
</file>

<file path=xl/sharedStrings.xml><?xml version="1.0" encoding="utf-8"?>
<sst xmlns="http://schemas.openxmlformats.org/spreadsheetml/2006/main" count="789" uniqueCount="578">
  <si>
    <t xml:space="preserve"> Հավելված N 1
 Աղյուսակ N 3 </t>
  </si>
  <si>
    <t xml:space="preserve"> հազար դրամներով 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</si>
  <si>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</si>
  <si>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</si>
  <si>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Ընդամենը</t>
  </si>
  <si>
    <t xml:space="preserve"> այդ թվում`</t>
  </si>
  <si>
    <t xml:space="preserve"> Ծրագիր</t>
  </si>
  <si>
    <t xml:space="preserve"> Միջոց առում</t>
  </si>
  <si>
    <t xml:space="preserve"> Կառուցման աշխատանքներ</t>
  </si>
  <si>
    <t xml:space="preserve"> Վերակառուցման, վերանորոգման և վերականգնման աշխատանքներ</t>
  </si>
  <si>
    <t xml:space="preserve"> Նախագծահե- տազոտական, գեոդեզիա- քարտեզագրական աշխատանքներ</t>
  </si>
  <si>
    <t xml:space="preserve"> Ոչ ֆինանսական այլ ակտիվների ձեռքբերում</t>
  </si>
  <si>
    <t xml:space="preserve"> ԸՆԴԱՄԵՆԸ</t>
  </si>
  <si>
    <t xml:space="preserve"> ՀՀ տարածքային կառավարման և ենթակառուցվածքների նախարարություն</t>
  </si>
  <si>
    <t xml:space="preserve"> այդ թվում՛</t>
  </si>
  <si>
    <t xml:space="preserve"> 1004</t>
  </si>
  <si>
    <t xml:space="preserve"> 31002</t>
  </si>
  <si>
    <t xml:space="preserve"> Ոռոգման համակարգերի հիմնանորոգում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</si>
  <si>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</si>
  <si>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</si>
  <si>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</si>
  <si>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</si>
  <si>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</si>
  <si>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</si>
  <si>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</si>
  <si>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</si>
  <si>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</si>
  <si>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</si>
  <si>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</si>
  <si>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</si>
  <si>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</si>
  <si>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</si>
  <si>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</si>
  <si>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</si>
  <si>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</si>
  <si>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1072</t>
  </si>
  <si>
    <t xml:space="preserve"> 31008</t>
  </si>
  <si>
    <t xml:space="preserve"> Պարտադիր կապիտալ աշխատանքների ծրագրի շրջանակներում ջրամատակարարման և ջրահեռացման ենթակառուցվածքների հիմնանորոգում</t>
  </si>
  <si>
    <t xml:space="preserve"> 31010</t>
  </si>
  <si>
    <t xml:space="preserve"> Ջրամատակարարման և ջրահեռացման համակարգի հիմնանորոգում</t>
  </si>
  <si>
    <t xml:space="preserve"> Ջրամատակարարման և ջրահեռացման համակարգի կառուցում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</si>
  <si>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</si>
  <si>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</si>
  <si>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</si>
  <si>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21038</t>
  </si>
  <si>
    <t xml:space="preserve"> Երևանի բուսաբանական այգու տարածքում անտառապուրակի կառուցապատման աշխատանքներ</t>
  </si>
  <si>
    <t xml:space="preserve"> 1212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</si>
  <si>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</si>
  <si>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</si>
  <si>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</si>
  <si>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</si>
  <si>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</si>
  <si>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31003</t>
  </si>
  <si>
    <t xml:space="preserve"> Առողջապահական կազմակերպությունների կառուցում, վերակառուցում</t>
  </si>
  <si>
    <t xml:space="preserve"> ՀՀ  արդարադատության նախարարություն</t>
  </si>
  <si>
    <t xml:space="preserve"> 1057</t>
  </si>
  <si>
    <t xml:space="preserve"> 1120</t>
  </si>
  <si>
    <t xml:space="preserve"> 31001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</si>
  <si>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</si>
  <si>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շրջակա միջավայրի նախարարություն</t>
  </si>
  <si>
    <t xml:space="preserve"> 1173</t>
  </si>
  <si>
    <t xml:space="preserve"> Անտառվերականգնման և անտառապատման աշխատանքներ</t>
  </si>
  <si>
    <t xml:space="preserve"> ՀՀ  կրթության , գիտության, մշակույթի և սպորտի նախարարություն</t>
  </si>
  <si>
    <t xml:space="preserve"> Մասնագիտական ուսումնական հաստատությունների շենքերի կառուցում</t>
  </si>
  <si>
    <t xml:space="preserve"> Հուշարձանների ամրակայում, նորոգում և վերականգնում</t>
  </si>
  <si>
    <t xml:space="preserve"> Թանգարանների և պատկերասրահների գույքային և տեխնիկական  հագեցվածության բարելավում</t>
  </si>
  <si>
    <t xml:space="preserve"> 32007</t>
  </si>
  <si>
    <t xml:space="preserve"> 11003</t>
  </si>
  <si>
    <t xml:space="preserve"> Մանկապարտեզների շենքերի վերակառուցում, հիմնանորոգում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</si>
  <si>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</si>
  <si>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</si>
  <si>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</si>
  <si>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1204</t>
  </si>
  <si>
    <t xml:space="preserve"> Հոսպիտալների և բուժկետերի բժշկական սարքավորումներով համալրում</t>
  </si>
  <si>
    <t xml:space="preserve"> ՀՀ  աշխատանքի և սոցիալական հարցերի նախարարություն</t>
  </si>
  <si>
    <t xml:space="preserve"> 1011</t>
  </si>
  <si>
    <t xml:space="preserve"> Սոցիալական բնակարանային ֆոնդի շենքերի վերանորոգում</t>
  </si>
  <si>
    <t xml:space="preserve"> 1032</t>
  </si>
  <si>
    <t xml:space="preserve"> Տարեց և (կամ) հաշմանդամություն ունեցող անձանց շուրջօրյա խնամքի  պետական ոչ առևտրային կազմակերպությունների շենքային պայմանների բարելավում</t>
  </si>
  <si>
    <t xml:space="preserve"> 1160</t>
  </si>
  <si>
    <t xml:space="preserve"> Մեծամորում հաշմանդամություն ունեցող անձանց համար անկախ կյանքի կենտրոնի կառուցում	</t>
  </si>
  <si>
    <t xml:space="preserve"> ՀՀ բարձր տեխնոլոգիական արդյունաբերության նախարարություն</t>
  </si>
  <si>
    <t xml:space="preserve"> 1235</t>
  </si>
  <si>
    <t xml:space="preserve"> Միասնական թվային միջավայրի ձևավորում</t>
  </si>
  <si>
    <t xml:space="preserve"> ՀՀ ներքին գործերի նախարարություն</t>
  </si>
  <si>
    <t xml:space="preserve"> 1089</t>
  </si>
  <si>
    <t xml:space="preserve"> Սեյսմիկ պաշտպանության համակարգի ազգային դիտացանցի արդիականացում</t>
  </si>
  <si>
    <t xml:space="preserve"> 1090</t>
  </si>
  <si>
    <t xml:space="preserve"> ՆԳՆ փրկարար ծառայության հրշեջ-փրկարարական գույքի բարելավմանե ներդրումային ծրագրի իրականացում</t>
  </si>
  <si>
    <t xml:space="preserve"> 1234</t>
  </si>
  <si>
    <t xml:space="preserve"> ՀՀ ՆԳՆ շենքային պայմանների բարելավում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</si>
  <si>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</si>
  <si>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</si>
  <si>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</si>
  <si>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հանրային ծառայությունները կարգավորող հանձնաժողովի շենքային պայմանների ապահովում և բարելավում</t>
  </si>
  <si>
    <t xml:space="preserve"> ՀՀ կադաստրի կոմիտե</t>
  </si>
  <si>
    <t xml:space="preserve"> 1012</t>
  </si>
  <si>
    <t xml:space="preserve"> 31015</t>
  </si>
  <si>
    <t xml:space="preserve"> 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</si>
  <si>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 xml:space="preserve"> ՀՀ պետական եկամուտների կոմիտե</t>
  </si>
  <si>
    <t xml:space="preserve"> 1023</t>
  </si>
  <si>
    <t xml:space="preserve"> ՀՀ պետական եկամուտների կոմիտեի  շենքային ապահովվածության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</si>
  <si>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</si>
  <si>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</si>
  <si>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</si>
  <si>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</si>
  <si>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</si>
  <si>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ՀՀ  միջուկային անվտանգության կարգավորման  կոմիտե</t>
  </si>
  <si>
    <t xml:space="preserve"> 1054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</si>
  <si>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</si>
  <si>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</si>
  <si>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</si>
  <si>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</si>
  <si>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ՀՀ քննչական կոմիտե</t>
  </si>
  <si>
    <t xml:space="preserve"> 1180</t>
  </si>
  <si>
    <t xml:space="preserve"> 31004</t>
  </si>
  <si>
    <t xml:space="preserve"> ՀՀ քննչական կոմիտեի շենքային պայմանների բարելավում</t>
  </si>
  <si>
    <t xml:space="preserve"> ՀՀ քաղաքաշինության կոմիտե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</si>
  <si>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</si>
  <si>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</si>
  <si>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</si>
  <si>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Քաղաքաշինական ծրագրային,  միկրոռեգիոնալ մակարդակի համակցված տարածական պլանավորման փաստաթղթերի մշակում</t>
  </si>
  <si>
    <t xml:space="preserve"> Քաղաքաշինության բնագավառում պետական ծրագրերի իրականացման ապահովում</t>
  </si>
  <si>
    <t xml:space="preserve"> ՀՀ արտաքին հետախուզության ծառայություն</t>
  </si>
  <si>
    <t xml:space="preserve"> 1237</t>
  </si>
  <si>
    <t xml:space="preserve"> Արտաքին հետախուզության ծառայության շենքային պայմանների ապահովում</t>
  </si>
  <si>
    <t xml:space="preserve"> ՀՀ կառավարություն</t>
  </si>
  <si>
    <t xml:space="preserve"> 1139</t>
  </si>
  <si>
    <t xml:space="preserve"> Հարկաբյուջետային ռիսկերի կառավարման պահուստ</t>
  </si>
  <si>
    <t>Հայաստանի Հանրապետության 2026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</si>
  <si>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այդ թվում՝</t>
  </si>
  <si>
    <t>ԵՄ այլ նորմերի թարգմանություն և տեղայնացում (մեկնարկ/չբաշխված)</t>
  </si>
  <si>
    <t>ՀՀ Լոռու մարզի Ստեփանավան համայնքի Աշոտաբերդ թաղամասի կառուցապատման աշխատանքներ</t>
  </si>
  <si>
    <t xml:space="preserve"> «Հարսնաքար»  հանգստի գոտուց մինչև Սևանի թերակղզի հատվածի ճեմուղու կառուցում</t>
  </si>
  <si>
    <t xml:space="preserve">ՀՀ Սևանա լճի ջրհավաք ավազանի առափնյա հատվածների քաղաքաշինական գոտևորման նախագիծ </t>
  </si>
  <si>
    <t xml:space="preserve"> Գետերի վրա կամուրջների, կարգավորիչ պատերի հիդրոլոգիական հաշվարկներ 
(ՀՀ կանոնների հավաքածուի մշակում, տեղայնացում)   </t>
  </si>
  <si>
    <t xml:space="preserve"> Հաշվարկային հիդրոլոգիական բնութագրերի որոշում 
(ՀՀ շինարարական նորմերի մշակում, տեղայնացում)                                                 </t>
  </si>
  <si>
    <t xml:space="preserve"> Փայտանյութերի պահեստներ.Նախագծման  նորմեր
(ՀՀ շինարարական նորմերի մշակում, տեղայնացում)   </t>
  </si>
  <si>
    <t>Օդափոխության, ջեռուցման, օդի լավորակման համակարգեր 
(ԵՄ նորմերի թարգմանություն և տեղայնացում)</t>
  </si>
  <si>
    <t>Օդանավակայաններ 
(ԵՄ նորմերի թարգմանություն և տեղայնացում)</t>
  </si>
  <si>
    <t xml:space="preserve"> Կամուրջների շահագործում 
(ՀՀ կանոնների հավաքածուի մշակում, տեղայնացում) </t>
  </si>
  <si>
    <t>Ընդհանուր օգտագործման ավտոմոբիլային ճանապարհներ, տրամսպորտային ենթակառուցվածքներ  
(ԵՄ նորմերի թարգմանություն և տեղայնացում)</t>
  </si>
  <si>
    <t>Երկաթուղիներ 
(ԵՄ նորմերի թարգմանություն և տեղայնացում)</t>
  </si>
  <si>
    <t>Ավտոլիցքավորման կայանների կազմակերպում, հրդեհաշիջում 
(ԵՄ նորմերի թարգմանություն և տեղայնացում)</t>
  </si>
  <si>
    <t>Ինժեներագեոդեզիական հետազննում 
(ԵՄ նորմերի թարգմանություն և տեղայնացում)</t>
  </si>
  <si>
    <t>Շենքերի և շինությունների հրդեհային անվտանգություն 
(ԵՄ նորմերի թարգմանություն և տեղայնացում)</t>
  </si>
  <si>
    <t>այդ թվում`</t>
  </si>
  <si>
    <t>ՀՀ Արագածոտնի մարզ</t>
  </si>
  <si>
    <t>ՀՀ ԱՆ «Ծաղկահովիտի առողջության կենտրոն» ՓԲԸ</t>
  </si>
  <si>
    <t>ՀՀ Արարատի մարզ</t>
  </si>
  <si>
    <t>ՀՀ ԱՆ «Մասիսի բժշկական կենտրոն» ՓԲԸ</t>
  </si>
  <si>
    <t>ՀՀ ԱՆ «Վեդու բժշկական կենտրոն» ՓԲԸ</t>
  </si>
  <si>
    <t>ՀՀ Արմավիրի մարզ</t>
  </si>
  <si>
    <t>ՀՀ ԱՆ «Հիվանդությունների վերահսկման և կանխարգելման ազգային կենտրոն» ՊՈԱԿ Արմավիրի մարզի մասնաճյուղ</t>
  </si>
  <si>
    <t>ՀՀ Կոտայքի մարզ</t>
  </si>
  <si>
    <t xml:space="preserve"> ՀՀ ԱՆ Եղվարդի «Նաիրիի բժշկական կենտրոն» ՓԲԸ</t>
  </si>
  <si>
    <t>ՀՀ Կոտայքի մարզի «Նոր Հաճնի պոլիկլինիկա» ՊՓԲԸ</t>
  </si>
  <si>
    <t>ՀՀ Լոռու մարզ</t>
  </si>
  <si>
    <t>ՀՀ ԱՆ «Տաշիրի բժշկական կենտրոն» ՓԲԸ</t>
  </si>
  <si>
    <t>ՀՀ Շիրակի մարզ</t>
  </si>
  <si>
    <t>ՀՀ ԱՆ «Գյումրու բժշկական կենտրոն» ՓԲԸ ծննդատուն</t>
  </si>
  <si>
    <t>ՀՀ Սյունիքի մարզ</t>
  </si>
  <si>
    <t>ՀՀ ԱՆ «Սիսիանի բժշկական կենտրոն» ՓԲԸ</t>
  </si>
  <si>
    <t>ՀՀ ԱՆ «Դատաբժշկական գիտագործնական կենտրոն» ՊՈԱԿ-ի Մեղրու ստորաբաժանում</t>
  </si>
  <si>
    <t>Մարզային ամբուլատորիաներ</t>
  </si>
  <si>
    <t>Երևան քաղաք</t>
  </si>
  <si>
    <t>ՀՀ ԱՆ «Հոգեկան առողջության պահպանման ազգային կենտրոն» ՓԲԸ</t>
  </si>
  <si>
    <t>ՀՀ ԱՆ «Ինֆեկցիոն հիվանդությունների ազգային կենտրոն» ՓԲԸ</t>
  </si>
  <si>
    <t>ՀՀ Արագածոտնի մարզ «Ոսկևազի ԱԱՊԿ» ՀՈԱԿ</t>
  </si>
  <si>
    <t>ՀՀ Արագածոտնի մարզի «Մաստարայի ԲԱ» ՀՈԱԿ</t>
  </si>
  <si>
    <t>ՀՀ Արագածոտնի մարզի «Նոր Երզնկայի ԱԱՊԿ»ՊՈԱԿ</t>
  </si>
  <si>
    <t>ՀՀ Արագածոտնի մարզի «Ծաղկահովիտի առողջության կենտրոն» ՓԲԸ</t>
  </si>
  <si>
    <t>ՀՀ Արարատի մարզի «Դիմիտրովի ԱԱՊԿ» ՊՈԱԿ</t>
  </si>
  <si>
    <t>ՀՀ Արարատի մարզի «Այգեստանի ԱԱՊԿ» ՊՈԱԿ</t>
  </si>
  <si>
    <t>ՀՀ Արարատի մարզի «Դվինի ԱԱՊԿ» ՊՈԱԿ</t>
  </si>
  <si>
    <t>ՀՀ Արարատի մարզի «Այգավանի ԱԱՊԿ» ՊՈԱԿ</t>
  </si>
  <si>
    <t>ՀՀ Արարատի մարզի «Նոր կյանքի ԱԱՊԿ» ՊՈԱԿ</t>
  </si>
  <si>
    <t>ՀՀ Արմավիրի մարզի «Գայի ԲԱ» ՀՈԱԿ</t>
  </si>
  <si>
    <t>ՀՀ Արմավիրի մարզի «Ջրառատի ԲԱ» ՀՈԱԿ</t>
  </si>
  <si>
    <t>ՀՀ Արմավիրի մարզի «Վարդանաշենի ԲԱ» ՀՈԱԿ</t>
  </si>
  <si>
    <t>ՀՀ Արմավիրի մարզի «Տանձուտի ԲԱ» ՀՈԱԿ</t>
  </si>
  <si>
    <t>ՀՀ Արմավիրի մարզի «Խանջյանի ԲԱ» ՀՈԱԿ</t>
  </si>
  <si>
    <t>ՀՀ Արմավիրի մարզի «Լենուղու ԱԿ» ՀՈԱԿ</t>
  </si>
  <si>
    <t>ՀՀ Արմավիրի մարզի «Մուսալեռի ԲԱ» ՊՈԱԿ</t>
  </si>
  <si>
    <t>ՀՀ ԱՆ «Էջմիածնի բժշկական կենտրոն» ՓԲԸ</t>
  </si>
  <si>
    <t>ՀՀ Գեղարքունիքի մարզ</t>
  </si>
  <si>
    <t>ՀՀ ԱՆ «Վարդենիսի բժշկական կենտրոն» ՓԲԸ</t>
  </si>
  <si>
    <t>ՀՀ Գեղարքունիքի մարզի «Ծակքարի ԱԱՊԿ» ՊՈԱԿ</t>
  </si>
  <si>
    <t>ՀՀ Գեղարքունիքի մարզի «Վարդենիկի ԱԿ» ՊՈԱԿ</t>
  </si>
  <si>
    <t>ՀՀ Գեղարքունիքի մարզի «Վաղաշենի ԱԱՊԿ» ՊՈԱԿ</t>
  </si>
  <si>
    <t>ՀՀ Կոտայքի մարզի «Ձորաղբյուրի ԱԱՊԿ» ՊՈԱԿ</t>
  </si>
  <si>
    <t>ՀՀ Սյունիքի մարզի «Անգեղակոթի ԲԱ» ՊՈԱԿ</t>
  </si>
  <si>
    <t>ՀՀ ԱՆ «Դատաբժշկական գիտագործնական կենտրոն» Մեղրու ստորաբաժանում</t>
  </si>
  <si>
    <t>ՀՀ Լոռու մարզ «Մեծավանի ԱԿ» ՊՈԱԿ</t>
  </si>
  <si>
    <t>ՀՀ Լոռու մարզի  «Օձունի  ԲԱ»  ՀՈԱԿ</t>
  </si>
  <si>
    <t xml:space="preserve">ՀՀ Լոռու մարզի  «Վահագնի ԱԱՊԿ» ՊՈԱԿ </t>
  </si>
  <si>
    <t>ՀՀ Լոռու մարզի «Վանաձորի թիվ 1 պոլիկլինիկա» ՊՓԲԸ</t>
  </si>
  <si>
    <t>ՀՀ Լոռու մարզի «Տաշիրի բժշկական կենտրոն» ՓԲԸ</t>
  </si>
  <si>
    <t>ՀՀ Շիրակի մարզի «Պեմզաշենի ԱԿ» ՊՈԱԿ</t>
  </si>
  <si>
    <t>ՀՀ Շիրակի մարզի «Ախուրիկի ԲԱ» ՊՈԱԿ</t>
  </si>
  <si>
    <t>ՀՀ Շիրակի մարզի «Հացիկի ԲԱ» ՀՈԱԿ</t>
  </si>
  <si>
    <t>ՀՀ ԱՆ «Արթիկի բժշկական կենտրոն» ՓԲԸ</t>
  </si>
  <si>
    <t>ՀՀ Շիրակի մարզի «Գյումրու Ն․Ա․ Մելիքյանի անվան թիվ 2 պոլիկլինիկա» ՓԲԸ</t>
  </si>
  <si>
    <t>ՀՀ Տավուշի մարզ</t>
  </si>
  <si>
    <t>ՀՀ Տավուշի մարզի «Կողբի ԲԱ» ՀՈԱԿ</t>
  </si>
  <si>
    <t>ՀՀ Տավուշի մարզի «Այրումի ԳԲԱ» ՊՈԱԿ</t>
  </si>
  <si>
    <t>ՀՀ Տավուշի մարզի «Գետահովիտի ԱԱՊԿ» ՊՈԱԿ</t>
  </si>
  <si>
    <t>Արազափ 1 պոմպակայանի մղման խողովակաշարի հիմնանորոգում (2-րդ փուլ)</t>
  </si>
  <si>
    <t>Արզնի-Շամիրամ 2-րդ հերթի ջրանցքի Արուճի պոմպակայանի ջրընդունիչ ավազան հանդիսացող 10 հազ․խմ ծավալով ՕԿՋ-ի հիմնանորոգում</t>
  </si>
  <si>
    <t>ՀՀ Լոռու մարզի Սպիտակ համայնքի Ջրաշենի պոմպակայանի  3.0 հազ․ խմ ծավալով ՕԿՋ-ի նորոգում</t>
  </si>
  <si>
    <t>ՀՀ Գեղարքունիք մարզի Ծովինար գյուղի Մեծ առվի մոտ շուրջ 9.0 հազ.խմ ծավալով ՕԿՋ-ի կառուցում</t>
  </si>
  <si>
    <t>Արզնի-Շամիրամ 2-րդ հերթի ջրանցքի վերջնամասում գտնվող, Ներքին Բազմաբերդի պոմպակայանի ջրընդունիչ ավազան հանդիսացող 24 հազ․խմ ծավալով ՕԿՋ-ի հիմնանորոգում</t>
  </si>
  <si>
    <t>Ոսկեպար-Բաղանիս-Ոսկեվան-Կոթի ինքնահոս ջրագծի վրա՝ Բաղանիս-Ոսկեվան № 2 նախկին պոմպակայանի տարածքում, մինչև 8 հազ.խմ ծավալով ՕԿՋ-ի կառուցում</t>
  </si>
  <si>
    <t>Զանգակատուն-Պարույր Սևակ ինքնահոս ջրագծի վրա մինչև 100 հազ․խմ ծավալով ՕԿՋ-ի կառուցում</t>
  </si>
  <si>
    <t>ք. Երևան, Աջափնյակ վարչական շրջանի Ջանիբեկյան, Բաշինջաղյան, Սիսակյան, Վշտունի և հարակից փողոցների ջրամատակարարման ցանցի բարելավում փաթեթ - 2</t>
  </si>
  <si>
    <t xml:space="preserve">Կոնդ թաղամասի և Պարոնյան, Ձորափի փողոցների  բաշխիչ ցանցի  վերակառուցում </t>
  </si>
  <si>
    <t xml:space="preserve"> Մալաթիա-Սեբաստիա վարչական շրջանի ջրամատակարարման ցանցի բարելավում</t>
  </si>
  <si>
    <t>Աշտարակ քաղաքի Մ. Մաշտոցի, Լինչի, Հ. Թումանյան, Թամազյան, Գրիբոյեդովի փողոցների և հարակից նրբանցքների ջրամատակարարման բաշխիչ ցանցի վերակառուցում</t>
  </si>
  <si>
    <t>Արմավիրի մարզի Ակնալիճ գյուղի բաշխիչ ցանցի վերակառուցում</t>
  </si>
  <si>
    <t xml:space="preserve">ՀՀ Լոռու մարզի Ալավերդի քաղաքի Սարահարթ թաղամասի բաշխիչ ցանցի վերակառուցում </t>
  </si>
  <si>
    <t xml:space="preserve">Պռոշյան-Դեմիրճյան-Բաղրամյան փողոցներով պարփակված հատվածի բաշխիչ ցանցի վերակառուցում </t>
  </si>
  <si>
    <t>Աջափնյակ վարչական շրջանի ջրամատակարարման ցանցի վերակառուցում 
  (գոտի – 3)</t>
  </si>
  <si>
    <t>Աջափնյակ վարչական շրջան, Շինարարների, Պարսեղով, Եղիազարյան և հարակից փողոցների ջրամատակարարման ցանցի բարելավում, փաթեթ - 1</t>
  </si>
  <si>
    <t>Նուբարաշեն թաղամասի ջրամատակարարման IV  գոտու բաշխիչ ցանցի վերակառուցում, գոտիավորում</t>
  </si>
  <si>
    <t>Նուբարաշեն թաղամասի ջրամատակարարման II  գոտու բաշխիչ ցանցի վերակառուցում, գոտիավորում</t>
  </si>
  <si>
    <t>Նուբարաշեն թաղամասի ջրամատակարարման III  գոտու բաշխիչ ցանցի վերակառուցում, գոտիավորում</t>
  </si>
  <si>
    <r>
      <t xml:space="preserve">Նուբարաշեն թաղամասի ջրամատակարարման </t>
    </r>
    <r>
      <rPr>
        <i/>
        <sz val="9"/>
        <color rgb="FF000000"/>
        <rFont val="GHEA Grapalat"/>
        <family val="3"/>
      </rPr>
      <t xml:space="preserve">I </t>
    </r>
    <r>
      <rPr>
        <i/>
        <sz val="9"/>
        <rFont val="GHEA Grapalat"/>
        <family val="3"/>
      </rPr>
      <t>գոտու բաշխիչ ցանցի վերակառուցում, գոտիավորում</t>
    </r>
  </si>
  <si>
    <t>ՀՀ Սյունիքի մարզի Ագարակ քաղաքի գոյություն ունեցող ջրի մաքրման կայանի հիմնանորոգում, լրացուցիչ նոր կայանի կառուցում</t>
  </si>
  <si>
    <t>ՀՀ Սյունիքի մարզի Բռնակոթ համայնքի այլընտրանքային աղբյուրից ջրատարի կառուցում</t>
  </si>
  <si>
    <t>Գավառագետի հունի մաքրման և ափերի ամրացման աշխատանքներ</t>
  </si>
  <si>
    <t>ՀՀ Շիրակի մարզի Սառնաղբյուրի ջրամբարի պատվարի անվտանգ շահագործման նպատակով նախագծանախահաշվային փաստաթղթերի կազմման ծառայությունների ձեռբերում և շինարարության իրականացում</t>
  </si>
  <si>
    <t>ՀՀ Տավուշի մարզի Այգեձորի ջրամբարի տեխնիկական վիճակի ուսումնասիրությունների, հիմնանորոգման ենթակա հիդրոտեխնիկական կառուցվածքների վերականգնման և վերազինման աշխատանքներ</t>
  </si>
  <si>
    <t xml:space="preserve">ՀՀ Գեղարքունիքի մարզի Գեղարքունիք-2 ջրամբարի վերակառուցում </t>
  </si>
  <si>
    <t>Հայաստանում Ֆրանկոֆոնիայի խաղերի անցկացման համար անհրաժեշտ ենթակառուցվածքների ապահովում</t>
  </si>
  <si>
    <t>Մանկապատանեկան մարզադպրոցներին, մարզաձևերի ազգային ֆեդերացիաներին այլ մարզական կազմակերպություններին գույքով ապահովում</t>
  </si>
  <si>
    <t>Մասնագիտական ուսումնական հաստատությունների շենքային պայմանների բարելավում</t>
  </si>
  <si>
    <t>«Երևանի պարարվեստի պետական քոլեջ» ՊՈԱԿ</t>
  </si>
  <si>
    <t>«Մասիսի պետական գյուղատնտեսական քոլեջ» ՊՈԱԿ</t>
  </si>
  <si>
    <t>«Գավառի պետական բժշկական քոլեջ» ՊՈԱԿ</t>
  </si>
  <si>
    <t>«Գյումրու պետական բժշկական քոլեջ» ՊՈԱԿ</t>
  </si>
  <si>
    <t>«Արթիկի պետական քոլեջ» ՊՈԱԿ</t>
  </si>
  <si>
    <t>«Դիլիջանի բազմագործառութային պետական քոլեջ» ՊՈԱԿ</t>
  </si>
  <si>
    <t>Մասնագիտական ուսումնական հաստատություններում ուսումնաարտադրական բազայով ապահովում</t>
  </si>
  <si>
    <t>«Երևանի զարդարվեստի պետական արհեստագործական ուսումնարան» ՊՈԱԿ</t>
  </si>
  <si>
    <t>«Արմավիրի տարածաշրջանային պետական քոլեջ» ՊՈԱԿ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</si>
  <si>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</si>
  <si>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</si>
  <si>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«Նոր Գեղիի ակադեմիկոս Գ. Աղաջանյանի անվան պետական գյուղատնտեսական քոլեջ» ՊՈԱԿ</t>
  </si>
  <si>
    <t>«Գորիսի պրոֆեսոր Խ. Երիցյանի անվան պետական գյուղատնտեսական քոլեջ» ՊՈԱԿ</t>
  </si>
  <si>
    <t>«Սիսիանի պետական քոլեջ» ՊՈԱԿ</t>
  </si>
  <si>
    <t xml:space="preserve"> «Սյունիքի տարածաշրջանային պետական քոլեջ» ՊՈԱԿ</t>
  </si>
  <si>
    <t>«Նոյեմբերյանի պետական քոլեջ» ՊՈԱԿ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</si>
  <si>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</si>
  <si>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</si>
  <si>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</si>
  <si>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Ա. Սպենդիարյանի անվան օպերայի և բալետի ազգային ակադեմիական թատրոն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</si>
  <si>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</si>
  <si>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</si>
  <si>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</si>
  <si>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ՀՀ Արագածոտնի մարզի Աշտարակի Ծիրանավոր եկեղեցու ամրակայում, նորոգում և վերականգնում</t>
  </si>
  <si>
    <t>Հավուց Թառ վանական համալիրի Սբ. Ամենափրկիչ եկեղեցու ամրակայում, նորոգում և վերականգնում</t>
  </si>
  <si>
    <t>Բերդկունքի Սպիտակ բերդի նորոգում, ամրակայում և վերականգնում</t>
  </si>
  <si>
    <t>Լոռու մարզի Քաղաքատեղի Լոռի Բերդի միջնաբերդի պարիսպների ամրակայում և վերականգնում</t>
  </si>
  <si>
    <t>Ալավերդի համայնքի Կաճաճկուտ բնակավայրի Սեդվի վանական համալիրի փլուզված եռահարկ աշտարակի նորոգում, ամրակայում, վերականգնում և տարածքի բարեկարգում</t>
  </si>
  <si>
    <t>Օձունի տաճարի կոթող-մահարձանի մենասյուների տեղափոխում և կրկնօրինակների պատրաստում</t>
  </si>
  <si>
    <t>Պտղնու տաճարի նորոգում, ամրակայում և մասնակի վերականգնում</t>
  </si>
  <si>
    <t>Աշոցք համայնքի Կրասար բնակավայրի 19-րդ դարի կամրջի նորոգում, ամրակայում և վերականգնում</t>
  </si>
  <si>
    <t xml:space="preserve">«Պեմզաշեն» եկեղեցական համալիրի  ամրակայում, նորոգում և վերականգնում </t>
  </si>
  <si>
    <t>Բաղաբերդ ամրոցի ամրակայման, նորոգման, վերականգնման գիտանախագծային փաստաթղթերի կազմում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</si>
  <si>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</si>
  <si>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</si>
  <si>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Եղեգիս խոշորացված համայնքի Շատիվանքի Սբ․ Սիոն եկեղեցու որմնանկարների ամրակայում և վերականգնում</t>
  </si>
  <si>
    <t>Հորսի  իշխան Չեսար Օրբելյանի ապարանքի  ամրակայում, նորոգում, վերականգնում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</si>
  <si>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</si>
  <si>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 ամրակայում, վերականգնում և տարածքի բարեկարգում</t>
  </si>
  <si>
    <t xml:space="preserve">Տավուշի մարզի Նավուր գյուղի 19-րդ դարի «Քարակարմունջ»  կամրջի նորոգում, ամրակայում և վերականգնում 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</si>
  <si>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</si>
  <si>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Ագարակ քաղաքի Սբ. Աստվածածին եկեղեցու ամրակայման, նորոգման և վերականգնման գիտանախագծային փաստաթղթեր</t>
  </si>
  <si>
    <t>Ագարակ քաղաքի Սբ. Աստվածածին եկեղեցու տարածքի պեղման աշխատանքներ</t>
  </si>
  <si>
    <t xml:space="preserve">«Սերկևիլ» գյուղատեղի 11-13 դդ. Ամրոցի և Սբ. Գրիգոր Լուսավորիչ եկեղեցու ամրակայման, նորոգման և վերականգնման գիտանախագծային փաստաթղթեր </t>
  </si>
  <si>
    <t>«Սերկևիլ» գյուղատեղի 11-13 դդ. Ամրոցի և Սբ. Գրիգոր Լուսավորիչ եկեղեցու տարածքի պեղման աշխատանքներ</t>
  </si>
  <si>
    <t>Թալինի քարավանատան ամրակայման, նորոգման և վերականգնման գիտանախագծային փաստաթղթեր</t>
  </si>
  <si>
    <t>Թալինի քարավանատան տարածքի պեղման աշխատանքներ</t>
  </si>
  <si>
    <t>Դսեղ համայնքի Բարձրաքաշի Սբ Գրիգոր վանական համալիրի կառույցների ամրակայման, նորոգման և մասնակի վերականգնման գիտանախագծային փաստաթղթեր</t>
  </si>
  <si>
    <t>Տաթևի վանքի  որմնանկարների ամրակայման և վերականգնման գիտանախագծային փաստաթղթեր</t>
  </si>
  <si>
    <t>Շատիվանք վանական համալիրի հնագիտական պեղումների իրականացում</t>
  </si>
  <si>
    <t>Ներդրումներ թանգարանների և պատկերասրահների հիմնանորոգման համար</t>
  </si>
  <si>
    <t>Հայաստանի ազգային պատկերասրահ  ՊՈԱԿ-ի Արա Սարգսյանի և Հակոբ Կոջոյանի տուն-թանգարան մասնաճյուղ</t>
  </si>
  <si>
    <t>«Լոռի-Փամբակի երկրագիտական թանգարան» ՊՈԱԿ</t>
  </si>
  <si>
    <t>«Կապանի երկրագիտական թանգարան» ՊՈԱԿ</t>
  </si>
  <si>
    <t>«Եղեգնաձորի երկրագիտական թանգարան» ՊՈԱԿ</t>
  </si>
  <si>
    <t>Թանգարանների համար նոր շենքերի կառուցում</t>
  </si>
  <si>
    <t>«Հ. Թումանյանի թանգարան» ՊՈԱԿ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</si>
  <si>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</si>
  <si>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Աջակցություն համայնքներին մարզական հաստատությունների շենքային պայմանների բարելավման համար</t>
  </si>
  <si>
    <t>Ալբերտ Ազարյանի անվան մարմնամարզության օլիմպիական հերթափոխի մանկապատանեկան մարզադպրոցի նոր մարզաբազա</t>
  </si>
  <si>
    <t xml:space="preserve">Արթուր Ալեքսանյանի անվան նոր սպորտային համալիր </t>
  </si>
  <si>
    <t>Մարզական օբյեկտների շինարարություն</t>
  </si>
  <si>
    <t>Արթուր Աբրահամի անվան մարզահամալիր</t>
  </si>
  <si>
    <t>«Երևանի օլիմպիական հերթափոխի պետական մարզական քոլեջ» ՊՈԱԿ (բռնցքամարտի և ձյուդոյի մարզադահլիճ)</t>
  </si>
  <si>
    <t>Ալագյազ համայնքում Մալխաս և Ռոման Ամոյանների անվան նոր մարզադպրոց</t>
  </si>
  <si>
    <t>Մարզական համալիր Աշտարակում</t>
  </si>
  <si>
    <t>Մարզական համալիր Արարատում</t>
  </si>
  <si>
    <t>Մարզական համալիր Արմավիրում</t>
  </si>
  <si>
    <t>Արմավիր համայնքի Մյասնիկյան բնակավայրի մարզադպրոց</t>
  </si>
  <si>
    <t>Վիկ Դարչինյանի անվան բռնցքամարտի մարզադահլիճ</t>
  </si>
  <si>
    <t>Ստեփան Սարգսյանի անվան ըմբշամարտի մարզադահլիճ</t>
  </si>
  <si>
    <t>Մարզական համալիր Եղեգնաձորում</t>
  </si>
  <si>
    <t>Մարզական օբյեկտների հիմնանորոգում</t>
  </si>
  <si>
    <t>«Երևանի օլիմպիական հերթափոխի պետական մարզական քոլեջ» ՊՈԱԿ</t>
  </si>
  <si>
    <t>ՀՀ Արմավիրի մարզի Գեղակերտի ծանրամարտի մարզադահլիճ</t>
  </si>
  <si>
    <t>Ներդրումներ թատրոնների և համերգային կազմակերպությունների շենքերի կապիտալ վերանորոգման համար</t>
  </si>
  <si>
    <t>«Հայաստանի պետական սիմֆոնիկ նվագախումբ» ՊՈԱԿ</t>
  </si>
  <si>
    <t>«Գորիսի Վ․Վաղարշյանի անվան դրամատիկական թատրոն» ՊՈԱԿ</t>
  </si>
  <si>
    <t xml:space="preserve">Ներդրումներ թատրոնների շենքերի կառուցման համար </t>
  </si>
  <si>
    <t>«Վանաձորի Հ. Աբելյանի անվան պետական դրամատիկական թատրոն» ՊՈԱԿ</t>
  </si>
  <si>
    <t>Թատերահամերգային կազմակերպությունների նյութատեխնիկական բազայի  համալրում</t>
  </si>
  <si>
    <t xml:space="preserve">«Երգի պետական թատրոն» ՊՈԱԿ </t>
  </si>
  <si>
    <t xml:space="preserve">«Հայաստանի ազգային ֆիլհարմոնիկ նվագախումբ» ՊՈԱԿ </t>
  </si>
  <si>
    <t>«Հայաստանի պետական ֆիլհարմոնիա» ՊՈԱԿ</t>
  </si>
  <si>
    <t>Երաժշտական գործիքների ձեռքբերում</t>
  </si>
  <si>
    <t>Հանրակրթական կրթություն իրականացնող ուսումնական հաստատությունների նոր մարզադահլիճների կառուցում</t>
  </si>
  <si>
    <t>«Ախուրյանի Նիկոլ Աղբալյանի անվան ավագ դպրոց»ՊՈԱԿ</t>
  </si>
  <si>
    <t>«Ձորակապի միջնակարգ դպրոց»ՊՈԱԿ</t>
  </si>
  <si>
    <t>Հանրակրթական կրթություն իրականացնող ուսումնական հաստատությունների մարզադահլիճների վերակառուցում</t>
  </si>
  <si>
    <t>«ք. Մարալիկի թիվ 1 միջնակարգ դպրոց»ՊՈԱԿ</t>
  </si>
  <si>
    <t>«ք. Գորիսի Ա.Բակունցի անվան թիվ 1 ավագ դպրոց»ՊՈԱԿ</t>
  </si>
  <si>
    <t>«Իջևանի Գառնիկ Անանյանի անվան ավագ դպրոց» ՊՈԱԿ</t>
  </si>
  <si>
    <t>ՀՀ պետական դպրոցների՝ ԳՏՃՄ լաբորատորիաներով ապահովում</t>
  </si>
  <si>
    <t>Համայնքային մշակութային-ժամանցային կենտրոնի ստեղծում</t>
  </si>
  <si>
    <t>Երաժշտական և արվեստի դպրոցների համար երաժշտական գործիքների ձեռքբերում</t>
  </si>
  <si>
    <t>Մանկապարտեզների նոր շենքերի կառուցում</t>
  </si>
  <si>
    <t>Ապարան համայնքի Մելիքգյուղ բնակավայրում 75 տեղ հզորությամբ մանկապարտեզ</t>
  </si>
  <si>
    <t>Թալին համայնքի Կաքավաձոր բնակավայրում 75 տեղ հզորությամբ մանկապարտեզ</t>
  </si>
  <si>
    <t>Թալին համայնքի Ոսկեթաս բնակավայրում 75 տեղ հզորությամբ մանկապարտեզ</t>
  </si>
  <si>
    <t>Ծաղկահովիտ համայնքի Ծիլքար բնակավայրում 75 տեղ հզորությամբ մանկապարտեզ</t>
  </si>
  <si>
    <t>Արտաշատ համայնքի Բերքանուշ բնակավայրում 75 տեղ հզորությամբ մանկապարտեզ</t>
  </si>
  <si>
    <t>ՀՀ Լոռու մարզի Գոգարան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</si>
  <si>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</si>
  <si>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>Ակունք համայնքի Զառ բնակավայրի 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</si>
  <si>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</si>
  <si>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</si>
  <si>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Անի համայնքի Քարաբերդ բնակավայրի մանկապարտեզ</t>
  </si>
  <si>
    <t>Անի համայնքի Մարալիկ բնակավայրի մանկապարտեզ</t>
  </si>
  <si>
    <t>Աշոցք համայնքի Ղազանչի բնակավայրի մանկապարտեզ</t>
  </si>
  <si>
    <t>Ախուրյան համայնքի Ղարիբջանյան բնակավայրի մանկապարտեզ</t>
  </si>
  <si>
    <t>Նոյեմբերյան համայնքի Բաղանիս բնակավայրի մանկապարտեզ</t>
  </si>
  <si>
    <t>Վարդենիս համայնքի Գեղամասար բնակավայրի մանկապարտեզ</t>
  </si>
  <si>
    <t>Հանրակրթական դպրոցների նոր շենքերի կառուցում</t>
  </si>
  <si>
    <t>ՀՀ մարզերում կրթական որակյալ ծառայությունների հասանելիության ապահովման ծրագրի շրջանակներում դպրոցների կառուցման նախագծանախահաշվային փաստաթղթերի կազմում և փորձաքննություն</t>
  </si>
  <si>
    <t>«Երևանի հ. 136 հիմնական դպրոց» ՊՈԱԿ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</si>
  <si>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</si>
  <si>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</si>
  <si>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</si>
  <si>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Մ. Սարյանի անվան հ. 86 հիմնական դպրոց» ՊՈԱԿ</t>
  </si>
  <si>
    <t>ք. Աշտարակի Վ.Պետրոսյանի անվ. հիմնական դպրոց</t>
  </si>
  <si>
    <t>ք. Ապարանի միջնակարգ դպրոց (ք. Ապարանի Վ.Եղիազարյանի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</si>
  <si>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</si>
  <si>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</si>
  <si>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Ներքին Սասնաշենի միջնակարգ դպրոց</t>
  </si>
  <si>
    <t>գ. Նոր Եդեսիայի Ն. Շնորհալու անվ. միջնակարգ դպրոց</t>
  </si>
  <si>
    <t>«Վեդիի ավագ դպրոց» ՊՈԱԿ</t>
  </si>
  <si>
    <t>«Բարձրաշենի միջնակարգ դպրոց»ՊՈԱԿ</t>
  </si>
  <si>
    <t>Գետազատ բնակավայրի միջնակարգ դպրոց</t>
  </si>
  <si>
    <t>Վերին Դվին բնակավայրի միջնակարգ դպրոց</t>
  </si>
  <si>
    <t>Այգեստան բնակավայրի միջնակարգ դպրոց</t>
  </si>
  <si>
    <t>«Սիսավանի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</si>
  <si>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</si>
  <si>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</si>
  <si>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</si>
  <si>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</si>
  <si>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</si>
  <si>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</si>
  <si>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</si>
  <si>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«Վաղարշապատի հ. 1 հիմնական դպրոց» ՊՈԱԿ</t>
  </si>
  <si>
    <t>«Արմավիրի N 6 հիմնական դպրոց» ՊՈԱԿ</t>
  </si>
  <si>
    <t>«Արմավիրի հ. 8 հիմնական դպրոց» ՊՈԱԿ</t>
  </si>
  <si>
    <t>«Արտիմետի միջնակարգ դպրոց» ՊՈԱԿ</t>
  </si>
  <si>
    <t>«Վաղարշապատի Երվանդ Օտյանի անվան N 7 հիմնական դպրոց» ՊՈԱԿ</t>
  </si>
  <si>
    <t>«Արագածի Մ. Մեխակյանի անվան միջնակարգ դպրոց» ՊՈԱԿ</t>
  </si>
  <si>
    <t>«Շահումյանի միջնակարգ դպրոց» ՊՈԱԿ</t>
  </si>
  <si>
    <t>«Մրգաստանի միջնակարգ դպրոց» ՊՈԱԿ</t>
  </si>
  <si>
    <t>Ն.Գետաշենի թիվ 1 միջնակարգ դպրոց ՊՈԱԿ</t>
  </si>
  <si>
    <t>գ. Ծովինարի Արծրուն Խաչատրյանի անվ. միջնակարգ դպրոց</t>
  </si>
  <si>
    <t>ք. Գավառի թիվ 5 հիմնական դպրոց</t>
  </si>
  <si>
    <t>Գագարինի միջնակարգ դպրոց ՊՈԱԿ</t>
  </si>
  <si>
    <t>«Վ․ Գետաշենի թիվ 2 միջնակարգ դպրոց» ՊՈԱԿ</t>
  </si>
  <si>
    <t>գ. Արևածագի Կ․ Մելիքսեթյանի անվան միջնակարգ դպրոց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</si>
  <si>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</si>
  <si>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</si>
  <si>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</si>
  <si>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</si>
  <si>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գ. Մեծավանի թիվ 2 միջնակարգ դպրոց</t>
  </si>
  <si>
    <t>գ. Շիրակամուտի թիվ 1 միջնակարգ դպրոց</t>
  </si>
  <si>
    <t>գ. Ճոճկանի միջնակարգ դպրոց</t>
  </si>
  <si>
    <t>«Ալավերդու թիվ 12 հիմնական դպրոց» ՊՈԱԿ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</si>
  <si>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</si>
  <si>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</si>
  <si>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</si>
  <si>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</si>
  <si>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</si>
  <si>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</si>
  <si>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</si>
  <si>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Լեռնանիստ բնակավայրի միջնակարգ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</si>
  <si>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</si>
  <si>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</si>
  <si>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</si>
  <si>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</si>
  <si>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Մայիսյանի միջնակարգ դպրոց</t>
  </si>
  <si>
    <t>գ․ Փոքր Մանթաշի միջնակարգ դպրոց</t>
  </si>
  <si>
    <t>«Բերդաշենի միջնակարգ դպրոց» ՊՈԱԿ</t>
  </si>
  <si>
    <t xml:space="preserve">«ք. Գորիսի Ս. Խանզադյանի անվան թիվ 6 հիմնական դպրոց» ՊՈԱԿ 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</si>
  <si>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</si>
  <si>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</si>
  <si>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Կոռնիձորի միջնակարգ դպրոց» ՊՈԱԿ </t>
  </si>
  <si>
    <t xml:space="preserve">«գ. Վերիշենի միջնակարգ դպրոց» ՊՈԱԿ </t>
  </si>
  <si>
    <t xml:space="preserve">«գ. Խնձորեսկի միջնակարգ դպրոց» ՊՈԱԿ </t>
  </si>
  <si>
    <t>«ք. Կապանի թիվ 6 հիմնական դպրոց» ՊՈԱԿ</t>
  </si>
  <si>
    <t>գ. Շինուհայրի միջնակարգ դպրոց</t>
  </si>
  <si>
    <t>գ. Խոտի միջնակարգ դպրոց</t>
  </si>
  <si>
    <t>ք. Ագարակի միջնակարգ դպրոց</t>
  </si>
  <si>
    <t>գ․ Իշխանասարի միջնակարգ դպրոց</t>
  </si>
  <si>
    <t xml:space="preserve"> գ․ Տաթևի միջնակարգ դպրոց</t>
  </si>
  <si>
    <t>գ. Բաբիկավան-Կավճուտի միջնակարգ դպրոց</t>
  </si>
  <si>
    <t>գ. Արենիի միջնակարգ դպրոց</t>
  </si>
  <si>
    <t xml:space="preserve">ք. Այրումի Հ.Մալինյանի անվան միջնակարգ դպրոց </t>
  </si>
  <si>
    <t>գ. Բագրատաշենի Մ․ Մագուլյանի անվան թիվ 1 միջնակարգ դպրոց</t>
  </si>
  <si>
    <t>ք. Նոյեմբերյանի վարժարան (ք. Նոյեմբերյանի թիվ 1 ավագ դպրոցի տեղակայման վայրում)</t>
  </si>
  <si>
    <t>գ. Աղավնավանքի միջնակարգ դպրոց</t>
  </si>
  <si>
    <t>«գ. Դովեղի միջնակարգ դպրոց» ՊՈԱԿ</t>
  </si>
  <si>
    <t>«Նավուրի միջնակարգ դպրոց» ՊՈԱԿ</t>
  </si>
  <si>
    <t>Հանրակրթական դպրոցների շենքերի վերակառուցում, հիմնանորոգում</t>
  </si>
  <si>
    <t>«Երևանի թիվ 22 հիմնական դպրոց» ՊՈԱԿ</t>
  </si>
  <si>
    <t>Երևանի Ա. Հովհաննիսյանի անվան հ. 194 հիմնական դպրոց</t>
  </si>
  <si>
    <t>Երևանի հ. 101 միջնակարգ դպրոց</t>
  </si>
  <si>
    <t>Մաստարայի միջնակարգ դպրոց</t>
  </si>
  <si>
    <t>Թալինի ավագ դպրոց</t>
  </si>
  <si>
    <t>Բազմաղբյուրի միջնակարգ դպրոց</t>
  </si>
  <si>
    <t>Կաքավաձորի միջնակարգ դպրոց</t>
  </si>
  <si>
    <t>Քուչակի միջնակարգ դպրոց</t>
  </si>
  <si>
    <t>Ագարակի Տ. Թերլեմեզյանի անվան միջնակարգ դպրոց</t>
  </si>
  <si>
    <t>Աղձքի միջնակարգ դպրոց</t>
  </si>
  <si>
    <t>Երնջատափի Ե․ Չարենցի անվան միջնակարգ դպրոց</t>
  </si>
  <si>
    <t>Մելիքգյուղի միջնակարգ դպրոց</t>
  </si>
  <si>
    <t>Բաղրամյանի միջնակարգ դպրոց</t>
  </si>
  <si>
    <t>Քարակերտի թիվ 2 միջնակարգ դպրոց</t>
  </si>
  <si>
    <t>Արմավիրի Վ. Բախշյանի անվան թիվ 2 հիմնական դպրոց</t>
  </si>
  <si>
    <t>Խանջյանի Ա. Հակոբյանի անվան միջնակարգ դպրոց</t>
  </si>
  <si>
    <t>Ալաշկերտի Հ. Քոչարի անվան միջնակարգ դպրոց</t>
  </si>
  <si>
    <t>Նորավանի միջնակարգ դպրոց</t>
  </si>
  <si>
    <t>Նորապատի միջնակարգ դպրոց</t>
  </si>
  <si>
    <t>Ծիածանի միջնակարգ դպրոց</t>
  </si>
  <si>
    <t>Հովտամեջի միջնակարգ դպրոց</t>
  </si>
  <si>
    <t>Սարդարապատի միջնակարգ դպրոց</t>
  </si>
  <si>
    <t>Ծակքարի միջնակարգ դպրոց</t>
  </si>
  <si>
    <t>Նորատուսի թիվ 1 միջնակարգ դպրոց</t>
  </si>
  <si>
    <t>Կարմիրգյուղի թիվ 2 միջնակարգ դպրոց</t>
  </si>
  <si>
    <t>Ծովագյուղի միջնակարգ դպրոց</t>
  </si>
  <si>
    <t>Ակունքի միջնակարգ դպրոց</t>
  </si>
  <si>
    <t>Վարդաձորի միջնակարգ դպրոց</t>
  </si>
  <si>
    <t>Սարուխանի թիվ 2 միջնակարգ դպրոց</t>
  </si>
  <si>
    <t>Ձորագյուղի միջնակարգ դպրոց</t>
  </si>
  <si>
    <t>ք. Վանաձորի Մաթեմատիկայի և բնագիտական առարկաների խորացված ուսուցմամբ հատուկ դպրոց</t>
  </si>
  <si>
    <t>Արևաշողի միջնակարգ դպրոց</t>
  </si>
  <si>
    <t>Վարդաբլուրի միջնակարգ դպրոց</t>
  </si>
  <si>
    <t>Գոգարանի միջնակարգ դպրոց</t>
  </si>
  <si>
    <t>Կաթնաջրի Ս. Սեյրանյանի անվան միջնակարգ դպրոց</t>
  </si>
  <si>
    <t>Արզնիի միջնակարգ դպրոց</t>
  </si>
  <si>
    <t>Ձորաղբյուրի Վ. Կարապետյանի անվան միջնակարգ դպրոց</t>
  </si>
  <si>
    <t>Մրգաշենի միջնակարգ դպրոց</t>
  </si>
  <si>
    <t>Քաղսի միջնակարգ դպրոց</t>
  </si>
  <si>
    <t>Ծաղկաձորի միջնակարգ դպրոց</t>
  </si>
  <si>
    <t>Հրազդանի Խ․ Աբովյանի թիվ 1 ավագ դպրոց</t>
  </si>
  <si>
    <t>Գյումրու Օյունջյանի միջնակարգ դպրոց-վարժարան</t>
  </si>
  <si>
    <t>Գյումրու թիվ 19 հիմնական դպրոց</t>
  </si>
  <si>
    <t>Գյումրու թիվ 45 միջնակարգ դպրոց</t>
  </si>
  <si>
    <t>Գյումրու թիվ 5 հիմնական դպրոց</t>
  </si>
  <si>
    <t>Գյումրու թիվ 30 հիմնական դպրոց</t>
  </si>
  <si>
    <t>«ք․ Գյումրու թիվ 41 հիմնական դպրոց» ՊՈԱԿ</t>
  </si>
  <si>
    <t xml:space="preserve">«ք․ Գյումրու թիվ 11 հիմնական դպրոց» ՊՈԱԿ </t>
  </si>
  <si>
    <t>Գյումրու թիվ 7 հիմնական դպրոց</t>
  </si>
  <si>
    <t>Հայկավանի միջնակարգ դպրոց</t>
  </si>
  <si>
    <t>Վահրամաբերդի Հ. Մկրտչյանի անվան միջնակարգ դպրոց</t>
  </si>
  <si>
    <t>Գորիսի թիվ 5 հիմնական դպրոց</t>
  </si>
  <si>
    <t>Գորիսի թիվ 3 հիմնական դպրոց</t>
  </si>
  <si>
    <t>Քաջարանի թիվ 2 միջնակարգ դպրոց</t>
  </si>
  <si>
    <t>Շվանիձորի միջնակարգ դպրոց</t>
  </si>
  <si>
    <t>Աճանանի միջնակարգ դպրոց</t>
  </si>
  <si>
    <t>Կապանի թիվ 8 միջնակարգ դպրոց</t>
  </si>
  <si>
    <t>Քարահունջի միջնակարգ դպրոց</t>
  </si>
  <si>
    <t>Ջերմուկի Մ. Գորկու անվան թիվ 1 հիմնական դպրոց</t>
  </si>
  <si>
    <t>Մալիշկայի Մ. Լոմոնոսովի անվան միջնակարգ դպրոց</t>
  </si>
  <si>
    <t>Ռինդի միջնակարգ դպրոց</t>
  </si>
  <si>
    <t>ք. Վայքի վարժարան</t>
  </si>
  <si>
    <t>Թեղուտի միջնակարգ դպրոց</t>
  </si>
  <si>
    <t>Բերդավանի միջնակարգ դպրոց</t>
  </si>
  <si>
    <t>Տավուշի միջնակարգ դպրոց</t>
  </si>
  <si>
    <t>Իջևանի թիվ 4 հիմնական դպրոց</t>
  </si>
  <si>
    <t>Բերդի Կ. Մարդանյանի անվան թիվ 3 հիմնական դպրոց</t>
  </si>
  <si>
    <t>Կրթահամալիրների կառուցում</t>
  </si>
  <si>
    <t>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</si>
  <si>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</si>
  <si>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</si>
  <si>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</si>
  <si>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Ճարճակիսի կրթահամալիր</t>
  </si>
  <si>
    <t>գ. Վարդենուտի կրթահամալիր</t>
  </si>
  <si>
    <t>գ. Կարինի կրթահամալիր</t>
  </si>
  <si>
    <t>գ. Զարինջայի կրթահամալիր</t>
  </si>
  <si>
    <t>գ. Պարույր Սևակի կրթահամալիր</t>
  </si>
  <si>
    <t>գ. Լուսաշողի կրթահամալիր</t>
  </si>
  <si>
    <t>գ. Նոր Կյուրինի կրթահամալիր</t>
  </si>
  <si>
    <t>գ․ Ջրահովիտի կրթահամալիր</t>
  </si>
  <si>
    <t>գ․ Արևաբույրի կրթահամալիր</t>
  </si>
  <si>
    <t>գ. Երասխահունի կրթահամալիր</t>
  </si>
  <si>
    <t>գ. Վարդանաշենի կրթահամալիր</t>
  </si>
  <si>
    <t>գ. Հայկավանի կրթահամալիր</t>
  </si>
  <si>
    <t>գ. Նոր Արտագերսի կրթահամալիր</t>
  </si>
  <si>
    <t>Արփունքի մոդուլային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</si>
  <si>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</si>
  <si>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</si>
  <si>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</si>
  <si>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</si>
  <si>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</si>
  <si>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</si>
  <si>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Հարթագյուղի կրթահամալիր</t>
  </si>
  <si>
    <t>գ. Կաթնաղբյուրի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</si>
  <si>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</si>
  <si>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</si>
  <si>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</si>
  <si>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</si>
  <si>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</si>
  <si>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</si>
  <si>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</si>
  <si>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գ. Արտավազի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</si>
  <si>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</si>
  <si>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</si>
  <si>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</si>
  <si>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</si>
  <si>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</si>
  <si>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</si>
  <si>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</si>
  <si>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Ույծի կրթահամալիր</t>
  </si>
  <si>
    <t>Սիսիան համայնքի Շաքիի կրթահամալիր</t>
  </si>
  <si>
    <t>Գորիս համայնքի Հարթաշենի կրթահամալիր</t>
  </si>
  <si>
    <t>Տեղ համայնքի Տեղի թիվ 2 կրթահամալիր</t>
  </si>
  <si>
    <t>Կապան համայնքի Սյունիքի կրթահամալիր</t>
  </si>
  <si>
    <t>Կապան համայնքի Արծվանիկի կրթահամալիր</t>
  </si>
  <si>
    <t>Կապան համայնքի Վերին Խոտանանի կրթահամալիր</t>
  </si>
  <si>
    <t>Կապան համայնքի Ծավի կրթահամալիր</t>
  </si>
  <si>
    <t xml:space="preserve"> գ. Ակների կրթահամալիր</t>
  </si>
  <si>
    <t xml:space="preserve"> գ. Խնածախի կրթահամալիր</t>
  </si>
  <si>
    <t>գ. Արփիի կրթահամալիր</t>
  </si>
  <si>
    <t>գ. Մարտիրոսի կրթահամալիր</t>
  </si>
  <si>
    <t>գ. Քարագլխի կրթահամալիր</t>
  </si>
  <si>
    <t>Գոշի մոդուլային կրթահամալիր</t>
  </si>
  <si>
    <t>գ. Լուսաձորի կրթահամալիր</t>
  </si>
  <si>
    <t>գ. Պտղավանի կրթահամալիր</t>
  </si>
  <si>
    <t>Հանրակրթական դպրոցների, մանկապարտեզների և կրթահամալիրների գույքով և տեխնիկայով ապահովում</t>
  </si>
  <si>
    <t>Ակադեմիական քաղաքի նախագծման և կառուցման գործընթացի ապահովում</t>
  </si>
  <si>
    <t xml:space="preserve"> Արդարադատության նախարարության շենքային պայմանների բարելավում</t>
  </si>
  <si>
    <t>Իրավաբանական անձանց պետական ռեգիստրի գործակալության Բյուզանդի 1/3 վարչական շենքի վերանորոգում</t>
  </si>
  <si>
    <t>ՀՀ Վայոց ձորի մարզ</t>
  </si>
  <si>
    <t>ՀՀ ԱՆ «Ջերմուկի առողջության կենտրոն» ՓԲԸ</t>
  </si>
  <si>
    <t xml:space="preserve">ՀՀ պետական սահմանի Բագրատաշենի ցամաքային անցման կետի  ենթակառուցվածքների վերակառուցում </t>
  </si>
  <si>
    <t xml:space="preserve"> ՀՀ միջուկային անվտանգության կարգավորման կոմիտեին  և ՄՌԱԳՏԿ ՓԲԸ -ին  շենքային պայմաններով ապահովում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</si>
  <si>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</si>
  <si>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ծառայության տրանսպորտային միջոցներով ապահովվածության բարելավում</t>
  </si>
  <si>
    <t>ՀՀ պետական եկամուտների կոմիտեի տեխնիկական հագեցվածության բարելավում</t>
  </si>
  <si>
    <t>-</t>
  </si>
  <si>
    <t>29 բժշկական ամբուլատորիաների վերազինում</t>
  </si>
  <si>
    <t>ՀՀ Արագածոտնի մարզի «Աշտարակի բժշկական կենտրոն» ՓԲԸ /գլխավոր մասնաշենք/</t>
  </si>
  <si>
    <t>Էկոպարեկային ծառայության շենքային պայմաններով ապահովում</t>
  </si>
  <si>
    <t>Ոռոգման համակարգերի հիմնանորոգման աշխատանքների նախագծանախահաշվային փաստաթղթերի և փորձաքննության ծառայությունների ձեռքբերում</t>
  </si>
  <si>
    <t>ՀՀ Գեղարքունիք մարզի Մարտունի համայնքի Վաղաշեն բնակավայրի Մանասի առու ջրանցքի գլխամասից վերև Կոփոյվար տարածքում շուրջ 27.0 հազ. խմ ծավալով ՕԿՋ-ի կառուցում</t>
  </si>
  <si>
    <t xml:space="preserve"> Ճակատային կախովի օդափոխվող համակարգեր. Նախագծման, աշխատանքների կատարման և շահագործման կանոններ 
(ՀՀ շինարարական նորմերի մշակում, տեղայնացում)                            </t>
  </si>
  <si>
    <t xml:space="preserve"> Շենքերի ու շինությունների կապի և հեռահաղորդակցության համակարգեր. Նախագծման հիմնական դրույթներ 
(ՀՀ շինարարական նորմերի մշակում, տեղայնացում)                      </t>
  </si>
  <si>
    <t>Ֆուտբոլի ենթակառուցվածքների զարգացման նպատակով մարզադաշտերի և մարզադպրոցների կառուցում</t>
  </si>
  <si>
    <t>Ֆուտբոլի մարզադաշտ Վանաձորում ՈՒԵՖԱ ստանդարտներով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</si>
</sst>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##,##0.0;\(##,##0.0\);\-"/>
    <numFmt numFmtId="165" formatCode="_-* #,##0.00\ _ _-;\-* #,##0.00\ _ _-;_-* &quot;-&quot;??\ _ _-;_-@_-"/>
    <numFmt numFmtId="166" formatCode="_-* #,##0.00_р_._-;\-* #,##0.00_р_._-;_-* &quot;-&quot;??_р_._-;_-@_-"/>
    <numFmt numFmtId="167" formatCode="#,##0.0"/>
    <numFmt numFmtId="168" formatCode="#,##0.0_);\(#,##0.0\)"/>
    <numFmt numFmtId="169" formatCode="_(* #,##0.0_);_(* \(#,##0.0\);_(* &quot;-&quot;??_);_(@_)"/>
    <numFmt numFmtId="170" formatCode="#,##0.000"/>
    <numFmt numFmtId="171" formatCode="_(* #,##0.0_);_(* \(#,##0.0\);_(* &quot;-&quot;?_);_(@_)"/>
    <numFmt numFmtId="172" formatCode="#,##0.000000000_);\(#,##0.000000000\)"/>
    <numFmt numFmtId="173" formatCode="##,##0.00;\(##,##0.00\);\-"/>
  </numFmts>
  <fonts count="52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0"/>
      <name val="GHEA Grapalat"/>
      <family val="2"/>
    </font>
    <font>
      <b/>
      <u/>
      <sz val="10"/>
      <name val="GHEA Grapalat"/>
      <family val="2"/>
    </font>
    <font>
      <b/>
      <sz val="8"/>
      <name val="GHEA Grapalat"/>
      <family val="2"/>
    </font>
    <font>
      <sz val="10"/>
      <name val="GHEA Grapalat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sz val="10"/>
      <color rgb="FF000000"/>
      <name val="Times New Roman"/>
      <family val="1"/>
    </font>
    <font>
      <sz val="10"/>
      <name val="Arial"/>
      <family val="2"/>
      <charset val="204"/>
    </font>
    <font>
      <sz val="10"/>
      <name val="Arial Unicode"/>
      <family val="2"/>
    </font>
    <font>
      <sz val="10"/>
      <color rgb="FF000000"/>
      <name val="Times New Roman"/>
      <family val="1"/>
      <charset val="204"/>
    </font>
    <font>
      <i/>
      <sz val="10"/>
      <name val="GHEA Grapalat"/>
      <family val="3"/>
    </font>
    <font>
      <i/>
      <sz val="10"/>
      <color theme="1"/>
      <name val="GHEA Grapalat"/>
      <family val="3"/>
    </font>
    <font>
      <i/>
      <sz val="9"/>
      <name val="GHEA Grapalat"/>
      <family val="3"/>
    </font>
    <font>
      <b/>
      <i/>
      <sz val="9"/>
      <name val="Calibri"/>
      <family val="2"/>
      <charset val="1"/>
      <scheme val="minor"/>
    </font>
    <font>
      <b/>
      <i/>
      <sz val="9"/>
      <name val="GHEA Grapalat"/>
      <family val="3"/>
    </font>
    <font>
      <i/>
      <sz val="9"/>
      <name val="Calibri"/>
      <family val="2"/>
      <charset val="1"/>
      <scheme val="minor"/>
    </font>
    <font>
      <b/>
      <sz val="10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1"/>
      <scheme val="minor"/>
    </font>
    <font>
      <b/>
      <sz val="9"/>
      <name val="Calibri"/>
      <family val="2"/>
      <charset val="1"/>
      <scheme val="minor"/>
    </font>
    <font>
      <i/>
      <sz val="9"/>
      <color rgb="FF000000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1"/>
      <scheme val="minor"/>
    </font>
    <font>
      <sz val="10"/>
      <name val="GHEA Grapalat"/>
      <family val="3"/>
    </font>
    <font>
      <sz val="10"/>
      <color rgb="FFFF0000"/>
      <name val="GHEA Grapalat"/>
      <family val="3"/>
    </font>
    <font>
      <b/>
      <i/>
      <sz val="10"/>
      <name val="GHEA Grapalat"/>
      <family val="3"/>
    </font>
    <font>
      <i/>
      <sz val="10"/>
      <name val="Calibri"/>
      <family val="2"/>
      <charset val="1"/>
      <scheme val="minor"/>
    </font>
    <font>
      <b/>
      <sz val="10"/>
      <color rgb="FFFF0000"/>
      <name val="GHEA Grapalat"/>
      <family val="3"/>
    </font>
    <font>
      <sz val="10"/>
      <color rgb="FFFF0000"/>
      <name val="Calibri"/>
      <family val="2"/>
      <charset val="1"/>
      <scheme val="minor"/>
    </font>
    <font>
      <i/>
      <sz val="10"/>
      <color rgb="FFFF0000"/>
      <name val="Calibri"/>
      <family val="2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164" fontId="22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0" fontId="24" fillId="0" borderId="0"/>
    <xf numFmtId="0" fontId="26" fillId="0" borderId="0"/>
    <xf numFmtId="4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/>
    <xf numFmtId="0" fontId="25" fillId="0" borderId="0"/>
    <xf numFmtId="166" fontId="29" fillId="0" borderId="0" applyFont="0" applyFill="0" applyBorder="0" applyAlignment="0" applyProtection="0"/>
    <xf numFmtId="0" fontId="29" fillId="0" borderId="0"/>
    <xf numFmtId="0" fontId="19" fillId="0" borderId="0">
      <alignment horizontal="left" vertical="top" wrapText="1"/>
    </xf>
    <xf numFmtId="0" fontId="27" fillId="0" borderId="0"/>
    <xf numFmtId="0" fontId="30" fillId="0" borderId="0"/>
    <xf numFmtId="0" fontId="27" fillId="0" borderId="0"/>
    <xf numFmtId="0" fontId="31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7" fillId="0" borderId="0"/>
    <xf numFmtId="165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7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43" fillId="0" borderId="0"/>
    <xf numFmtId="43" fontId="19" fillId="0" borderId="0" applyFont="0" applyFill="0" applyBorder="0" applyAlignment="0" applyProtection="0"/>
  </cellStyleXfs>
  <cellXfs count="162">
    <xf numFmtId="0" fontId="0" fillId="0" borderId="0" xfId="0">
      <alignment horizontal="left" vertical="top" wrapText="1"/>
    </xf>
    <xf numFmtId="0" fontId="20" fillId="0" borderId="10" xfId="0" applyFont="1" applyBorder="1" applyAlignment="1">
      <alignment horizontal="center" vertical="center" wrapText="1"/>
    </xf>
    <xf numFmtId="164" fontId="20" fillId="0" borderId="10" xfId="44" applyNumberFormat="1" applyFont="1" applyBorder="1" applyAlignment="1">
      <alignment horizontal="right" vertical="top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>
      <alignment horizontal="left" vertical="top" wrapText="1"/>
    </xf>
    <xf numFmtId="0" fontId="23" fillId="0" borderId="10" xfId="0" applyFont="1" applyBorder="1">
      <alignment horizontal="left" vertical="top" wrapText="1"/>
    </xf>
    <xf numFmtId="164" fontId="20" fillId="0" borderId="10" xfId="43" applyNumberFormat="1" applyFont="1" applyBorder="1" applyAlignment="1">
      <alignment horizontal="right" vertical="top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left" vertical="top" wrapText="1"/>
    </xf>
    <xf numFmtId="164" fontId="23" fillId="0" borderId="10" xfId="42" applyNumberFormat="1" applyFont="1" applyBorder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33" fillId="33" borderId="10" xfId="0" applyFont="1" applyFill="1" applyBorder="1" applyAlignment="1">
      <alignment horizontal="left" vertical="center" wrapText="1"/>
    </xf>
    <xf numFmtId="0" fontId="32" fillId="0" borderId="10" xfId="45" applyFont="1" applyBorder="1" applyAlignment="1">
      <alignment horizontal="left" vertical="top" wrapText="1"/>
    </xf>
    <xf numFmtId="0" fontId="34" fillId="0" borderId="10" xfId="73" applyFont="1" applyFill="1" applyBorder="1" applyAlignment="1">
      <alignment horizontal="left" vertical="center" wrapText="1"/>
    </xf>
    <xf numFmtId="0" fontId="35" fillId="0" borderId="10" xfId="74" applyFont="1" applyFill="1" applyBorder="1"/>
    <xf numFmtId="168" fontId="3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10" xfId="73" applyFont="1" applyFill="1" applyBorder="1" applyAlignment="1">
      <alignment horizontal="left" vertical="center" wrapText="1"/>
    </xf>
    <xf numFmtId="167" fontId="36" fillId="0" borderId="10" xfId="75" applyNumberFormat="1" applyFont="1" applyFill="1" applyBorder="1" applyAlignment="1">
      <alignment horizontal="center" vertical="center"/>
    </xf>
    <xf numFmtId="0" fontId="36" fillId="0" borderId="10" xfId="73" applyFont="1" applyFill="1" applyBorder="1" applyAlignment="1">
      <alignment horizontal="center" vertical="center" wrapText="1"/>
    </xf>
    <xf numFmtId="168" fontId="34" fillId="0" borderId="10" xfId="0" applyNumberFormat="1" applyFont="1" applyBorder="1" applyAlignment="1" applyProtection="1">
      <alignment horizontal="left" vertical="center" wrapText="1"/>
      <protection locked="0"/>
    </xf>
    <xf numFmtId="0" fontId="37" fillId="0" borderId="10" xfId="74" applyFont="1" applyFill="1" applyBorder="1"/>
    <xf numFmtId="167" fontId="34" fillId="0" borderId="10" xfId="75" applyNumberFormat="1" applyFont="1" applyFill="1" applyBorder="1" applyAlignment="1">
      <alignment horizontal="center" vertical="center"/>
    </xf>
    <xf numFmtId="0" fontId="34" fillId="0" borderId="10" xfId="73" applyFont="1" applyFill="1" applyBorder="1" applyAlignment="1">
      <alignment horizontal="center" vertical="center" wrapText="1"/>
    </xf>
    <xf numFmtId="167" fontId="34" fillId="0" borderId="10" xfId="73" applyNumberFormat="1" applyFont="1" applyFill="1" applyBorder="1" applyAlignment="1">
      <alignment horizontal="center" vertical="center" wrapText="1"/>
    </xf>
    <xf numFmtId="167" fontId="36" fillId="0" borderId="10" xfId="73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left" vertical="top" wrapText="1"/>
    </xf>
    <xf numFmtId="164" fontId="38" fillId="0" borderId="10" xfId="42" applyNumberFormat="1" applyFont="1" applyBorder="1" applyAlignment="1">
      <alignment horizontal="right" vertical="top"/>
    </xf>
    <xf numFmtId="0" fontId="39" fillId="0" borderId="10" xfId="73" applyFont="1" applyFill="1" applyBorder="1" applyAlignment="1">
      <alignment horizontal="center" vertical="center" wrapText="1"/>
    </xf>
    <xf numFmtId="0" fontId="40" fillId="0" borderId="10" xfId="74" applyFont="1" applyFill="1" applyBorder="1"/>
    <xf numFmtId="0" fontId="34" fillId="0" borderId="10" xfId="74" applyFont="1" applyFill="1" applyBorder="1" applyAlignment="1">
      <alignment vertical="center" wrapText="1"/>
    </xf>
    <xf numFmtId="0" fontId="41" fillId="0" borderId="10" xfId="74" applyFont="1" applyFill="1" applyBorder="1"/>
    <xf numFmtId="169" fontId="36" fillId="0" borderId="10" xfId="75" applyNumberFormat="1" applyFont="1" applyFill="1" applyBorder="1" applyAlignment="1">
      <alignment horizontal="center" vertical="center"/>
    </xf>
    <xf numFmtId="169" fontId="34" fillId="0" borderId="10" xfId="75" applyNumberFormat="1" applyFont="1" applyFill="1" applyBorder="1" applyAlignment="1">
      <alignment horizontal="center" vertical="center"/>
    </xf>
    <xf numFmtId="164" fontId="34" fillId="0" borderId="10" xfId="42" applyNumberFormat="1" applyFont="1" applyBorder="1" applyAlignment="1">
      <alignment horizontal="right" vertical="top"/>
    </xf>
    <xf numFmtId="0" fontId="27" fillId="0" borderId="12" xfId="0" applyFont="1" applyBorder="1" applyAlignment="1">
      <alignment horizontal="center"/>
    </xf>
    <xf numFmtId="0" fontId="38" fillId="0" borderId="10" xfId="73" applyFont="1" applyBorder="1" applyAlignment="1">
      <alignment horizontal="center" vertical="center" wrapText="1"/>
    </xf>
    <xf numFmtId="0" fontId="38" fillId="0" borderId="10" xfId="73" applyFont="1" applyBorder="1" applyAlignment="1">
      <alignment horizontal="left" vertical="center" wrapText="1"/>
    </xf>
    <xf numFmtId="168" fontId="38" fillId="0" borderId="10" xfId="73" applyNumberFormat="1" applyFont="1" applyBorder="1" applyAlignment="1">
      <alignment horizontal="center" vertical="center" wrapText="1"/>
    </xf>
    <xf numFmtId="0" fontId="44" fillId="0" borderId="0" xfId="74" applyFont="1"/>
    <xf numFmtId="0" fontId="38" fillId="0" borderId="10" xfId="73" applyFont="1" applyFill="1" applyBorder="1" applyAlignment="1">
      <alignment horizontal="left" vertical="center" wrapText="1"/>
    </xf>
    <xf numFmtId="0" fontId="45" fillId="0" borderId="10" xfId="74" applyFont="1" applyBorder="1"/>
    <xf numFmtId="0" fontId="45" fillId="0" borderId="10" xfId="74" applyFont="1" applyBorder="1" applyAlignment="1">
      <alignment horizontal="left" vertical="center"/>
    </xf>
    <xf numFmtId="43" fontId="46" fillId="0" borderId="10" xfId="47" applyFont="1" applyBorder="1"/>
    <xf numFmtId="0" fontId="47" fillId="0" borderId="10" xfId="73" applyFont="1" applyBorder="1" applyAlignment="1">
      <alignment horizontal="left" vertical="center" wrapText="1"/>
    </xf>
    <xf numFmtId="169" fontId="47" fillId="0" borderId="10" xfId="75" applyNumberFormat="1" applyFont="1" applyFill="1" applyBorder="1"/>
    <xf numFmtId="0" fontId="45" fillId="0" borderId="11" xfId="74" applyFont="1" applyBorder="1" applyAlignment="1">
      <alignment horizontal="center"/>
    </xf>
    <xf numFmtId="0" fontId="32" fillId="0" borderId="10" xfId="74" applyFont="1" applyBorder="1" applyAlignment="1">
      <alignment vertical="center" wrapText="1"/>
    </xf>
    <xf numFmtId="169" fontId="32" fillId="0" borderId="10" xfId="75" applyNumberFormat="1" applyFont="1" applyFill="1" applyBorder="1" applyAlignment="1">
      <alignment vertical="center"/>
    </xf>
    <xf numFmtId="0" fontId="32" fillId="0" borderId="10" xfId="74" applyFont="1" applyBorder="1" applyAlignment="1">
      <alignment vertical="center"/>
    </xf>
    <xf numFmtId="43" fontId="32" fillId="0" borderId="10" xfId="74" applyNumberFormat="1" applyFont="1" applyBorder="1" applyAlignment="1">
      <alignment vertical="center"/>
    </xf>
    <xf numFmtId="0" fontId="45" fillId="0" borderId="10" xfId="74" applyFont="1" applyBorder="1" applyAlignment="1">
      <alignment horizontal="center"/>
    </xf>
    <xf numFmtId="0" fontId="45" fillId="0" borderId="10" xfId="74" applyFont="1" applyBorder="1" applyAlignment="1">
      <alignment horizontal="left"/>
    </xf>
    <xf numFmtId="0" fontId="48" fillId="0" borderId="0" xfId="74" applyFont="1"/>
    <xf numFmtId="0" fontId="45" fillId="0" borderId="10" xfId="73" applyFont="1" applyBorder="1" applyAlignment="1">
      <alignment horizontal="left" vertical="center" wrapText="1"/>
    </xf>
    <xf numFmtId="0" fontId="47" fillId="0" borderId="10" xfId="73" applyFont="1" applyBorder="1" applyAlignment="1">
      <alignment horizontal="center" vertical="center" wrapText="1"/>
    </xf>
    <xf numFmtId="168" fontId="47" fillId="0" borderId="10" xfId="73" applyNumberFormat="1" applyFont="1" applyBorder="1" applyAlignment="1">
      <alignment horizontal="center" vertical="center" wrapText="1"/>
    </xf>
    <xf numFmtId="0" fontId="45" fillId="0" borderId="10" xfId="73" applyFont="1" applyBorder="1" applyAlignment="1">
      <alignment horizontal="center" vertical="center" wrapText="1"/>
    </xf>
    <xf numFmtId="0" fontId="38" fillId="0" borderId="10" xfId="73" applyFont="1" applyBorder="1" applyAlignment="1">
      <alignment vertical="center" wrapText="1"/>
    </xf>
    <xf numFmtId="0" fontId="48" fillId="0" borderId="0" xfId="74" applyFont="1" applyAlignment="1">
      <alignment vertical="center"/>
    </xf>
    <xf numFmtId="0" fontId="38" fillId="0" borderId="12" xfId="73" applyFont="1" applyBorder="1" applyAlignment="1">
      <alignment horizontal="center" vertical="center" wrapText="1"/>
    </xf>
    <xf numFmtId="0" fontId="38" fillId="0" borderId="11" xfId="73" applyFont="1" applyBorder="1" applyAlignment="1">
      <alignment horizontal="center" vertical="center" wrapText="1"/>
    </xf>
    <xf numFmtId="169" fontId="47" fillId="0" borderId="10" xfId="75" applyNumberFormat="1" applyFont="1" applyFill="1" applyBorder="1" applyAlignment="1">
      <alignment vertical="center"/>
    </xf>
    <xf numFmtId="0" fontId="45" fillId="0" borderId="12" xfId="74" applyFont="1" applyBorder="1" applyAlignment="1">
      <alignment horizontal="center"/>
    </xf>
    <xf numFmtId="0" fontId="45" fillId="0" borderId="10" xfId="74" applyFont="1" applyBorder="1" applyAlignment="1">
      <alignment vertical="center"/>
    </xf>
    <xf numFmtId="168" fontId="45" fillId="0" borderId="10" xfId="74" applyNumberFormat="1" applyFont="1" applyBorder="1" applyAlignment="1">
      <alignment horizontal="center"/>
    </xf>
    <xf numFmtId="168" fontId="45" fillId="0" borderId="10" xfId="74" applyNumberFormat="1" applyFont="1" applyBorder="1"/>
    <xf numFmtId="43" fontId="45" fillId="0" borderId="10" xfId="47" applyFont="1" applyBorder="1"/>
    <xf numFmtId="43" fontId="45" fillId="0" borderId="10" xfId="74" applyNumberFormat="1" applyFont="1" applyBorder="1"/>
    <xf numFmtId="168" fontId="45" fillId="0" borderId="10" xfId="74" applyNumberFormat="1" applyFont="1" applyBorder="1" applyAlignment="1">
      <alignment vertical="center"/>
    </xf>
    <xf numFmtId="169" fontId="45" fillId="0" borderId="10" xfId="75" applyNumberFormat="1" applyFont="1" applyFill="1" applyBorder="1"/>
    <xf numFmtId="0" fontId="32" fillId="33" borderId="10" xfId="74" applyFont="1" applyFill="1" applyBorder="1" applyAlignment="1">
      <alignment vertical="center" wrapText="1"/>
    </xf>
    <xf numFmtId="43" fontId="45" fillId="0" borderId="10" xfId="47" applyFont="1" applyFill="1" applyBorder="1"/>
    <xf numFmtId="0" fontId="50" fillId="0" borderId="0" xfId="74" applyFont="1"/>
    <xf numFmtId="0" fontId="47" fillId="0" borderId="14" xfId="73" applyFont="1" applyBorder="1" applyAlignment="1">
      <alignment horizontal="left" vertical="center" wrapText="1"/>
    </xf>
    <xf numFmtId="0" fontId="51" fillId="0" borderId="0" xfId="74" applyFont="1"/>
    <xf numFmtId="0" fontId="32" fillId="0" borderId="10" xfId="0" applyFont="1" applyBorder="1" applyAlignment="1">
      <alignment vertical="center" wrapText="1"/>
    </xf>
    <xf numFmtId="169" fontId="32" fillId="33" borderId="10" xfId="76" applyNumberFormat="1" applyFont="1" applyFill="1" applyBorder="1" applyAlignment="1">
      <alignment vertical="center"/>
    </xf>
    <xf numFmtId="0" fontId="44" fillId="33" borderId="0" xfId="0" applyFont="1" applyFill="1" applyAlignment="1"/>
    <xf numFmtId="0" fontId="32" fillId="0" borderId="14" xfId="74" applyFont="1" applyBorder="1" applyAlignment="1">
      <alignment vertical="center" wrapText="1"/>
    </xf>
    <xf numFmtId="0" fontId="32" fillId="0" borderId="14" xfId="74" applyFont="1" applyFill="1" applyBorder="1" applyAlignment="1">
      <alignment vertical="center" wrapText="1"/>
    </xf>
    <xf numFmtId="0" fontId="32" fillId="0" borderId="10" xfId="74" applyFont="1" applyFill="1" applyBorder="1" applyAlignment="1">
      <alignment vertical="center"/>
    </xf>
    <xf numFmtId="0" fontId="48" fillId="0" borderId="0" xfId="74" applyFont="1" applyFill="1" applyAlignment="1">
      <alignment vertical="center"/>
    </xf>
    <xf numFmtId="0" fontId="32" fillId="0" borderId="10" xfId="77" applyFont="1" applyBorder="1" applyAlignment="1">
      <alignment vertical="center" wrapText="1"/>
    </xf>
    <xf numFmtId="0" fontId="44" fillId="33" borderId="0" xfId="77" applyFont="1" applyFill="1"/>
    <xf numFmtId="170" fontId="32" fillId="33" borderId="10" xfId="76" applyNumberFormat="1" applyFont="1" applyFill="1" applyBorder="1" applyAlignment="1">
      <alignment vertical="center"/>
    </xf>
    <xf numFmtId="167" fontId="32" fillId="33" borderId="10" xfId="76" applyNumberFormat="1" applyFont="1" applyFill="1" applyBorder="1" applyAlignment="1">
      <alignment vertical="center"/>
    </xf>
    <xf numFmtId="0" fontId="45" fillId="33" borderId="10" xfId="74" applyFont="1" applyFill="1" applyBorder="1"/>
    <xf numFmtId="0" fontId="47" fillId="33" borderId="14" xfId="73" applyFont="1" applyFill="1" applyBorder="1" applyAlignment="1">
      <alignment horizontal="left" vertical="center" wrapText="1"/>
    </xf>
    <xf numFmtId="168" fontId="47" fillId="33" borderId="10" xfId="75" applyNumberFormat="1" applyFont="1" applyFill="1" applyBorder="1" applyAlignment="1">
      <alignment vertical="center"/>
    </xf>
    <xf numFmtId="169" fontId="47" fillId="33" borderId="10" xfId="75" applyNumberFormat="1" applyFont="1" applyFill="1" applyBorder="1" applyAlignment="1">
      <alignment vertical="center"/>
    </xf>
    <xf numFmtId="0" fontId="48" fillId="33" borderId="0" xfId="74" applyFont="1" applyFill="1"/>
    <xf numFmtId="0" fontId="46" fillId="33" borderId="12" xfId="74" applyFont="1" applyFill="1" applyBorder="1" applyAlignment="1">
      <alignment horizontal="center"/>
    </xf>
    <xf numFmtId="0" fontId="45" fillId="33" borderId="10" xfId="77" applyFont="1" applyFill="1" applyBorder="1"/>
    <xf numFmtId="0" fontId="47" fillId="33" borderId="10" xfId="77" applyFont="1" applyFill="1" applyBorder="1" applyAlignment="1">
      <alignment vertical="center" wrapText="1"/>
    </xf>
    <xf numFmtId="169" fontId="47" fillId="33" borderId="10" xfId="76" applyNumberFormat="1" applyFont="1" applyFill="1" applyBorder="1"/>
    <xf numFmtId="0" fontId="48" fillId="33" borderId="0" xfId="77" applyFont="1" applyFill="1"/>
    <xf numFmtId="167" fontId="47" fillId="33" borderId="10" xfId="75" applyNumberFormat="1" applyFont="1" applyFill="1" applyBorder="1" applyAlignment="1">
      <alignment vertical="center"/>
    </xf>
    <xf numFmtId="170" fontId="47" fillId="33" borderId="10" xfId="76" applyNumberFormat="1" applyFont="1" applyFill="1" applyBorder="1"/>
    <xf numFmtId="167" fontId="47" fillId="33" borderId="10" xfId="76" applyNumberFormat="1" applyFont="1" applyFill="1" applyBorder="1"/>
    <xf numFmtId="0" fontId="45" fillId="33" borderId="13" xfId="78" applyFont="1" applyFill="1" applyBorder="1" applyAlignment="1">
      <alignment horizontal="center"/>
    </xf>
    <xf numFmtId="170" fontId="32" fillId="0" borderId="10" xfId="76" applyNumberFormat="1" applyFont="1" applyFill="1" applyBorder="1" applyAlignment="1">
      <alignment vertical="center"/>
    </xf>
    <xf numFmtId="0" fontId="44" fillId="0" borderId="0" xfId="77" applyFont="1"/>
    <xf numFmtId="0" fontId="32" fillId="0" borderId="14" xfId="77" applyFont="1" applyBorder="1" applyAlignment="1">
      <alignment vertical="center" wrapText="1"/>
    </xf>
    <xf numFmtId="0" fontId="51" fillId="0" borderId="0" xfId="74" applyFont="1" applyAlignment="1">
      <alignment vertical="center"/>
    </xf>
    <xf numFmtId="167" fontId="32" fillId="0" borderId="10" xfId="76" applyNumberFormat="1" applyFont="1" applyFill="1" applyBorder="1" applyAlignment="1">
      <alignment vertical="center"/>
    </xf>
    <xf numFmtId="168" fontId="38" fillId="0" borderId="10" xfId="73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43" fontId="23" fillId="0" borderId="0" xfId="79" applyFont="1" applyAlignment="1">
      <alignment horizontal="left" vertical="top" wrapText="1"/>
    </xf>
    <xf numFmtId="169" fontId="23" fillId="0" borderId="0" xfId="79" applyNumberFormat="1" applyFont="1" applyAlignment="1">
      <alignment horizontal="left" vertical="top" wrapText="1"/>
    </xf>
    <xf numFmtId="43" fontId="23" fillId="0" borderId="0" xfId="0" applyNumberFormat="1" applyFont="1">
      <alignment horizontal="left" vertical="top" wrapText="1"/>
    </xf>
    <xf numFmtId="171" fontId="23" fillId="0" borderId="0" xfId="0" applyNumberFormat="1" applyFont="1">
      <alignment horizontal="left" vertical="top" wrapText="1"/>
    </xf>
    <xf numFmtId="0" fontId="34" fillId="33" borderId="10" xfId="74" applyFont="1" applyFill="1" applyBorder="1" applyAlignment="1">
      <alignment vertical="center" wrapText="1"/>
    </xf>
    <xf numFmtId="164" fontId="23" fillId="0" borderId="0" xfId="0" applyNumberFormat="1" applyFont="1">
      <alignment horizontal="left" vertical="top" wrapText="1"/>
    </xf>
    <xf numFmtId="164" fontId="20" fillId="0" borderId="0" xfId="44" applyNumberFormat="1" applyFont="1" applyAlignment="1">
      <alignment horizontal="right" vertical="top"/>
    </xf>
    <xf numFmtId="0" fontId="32" fillId="33" borderId="10" xfId="0" applyFont="1" applyFill="1" applyBorder="1">
      <alignment horizontal="left" vertical="top" wrapText="1"/>
    </xf>
    <xf numFmtId="164" fontId="34" fillId="0" borderId="10" xfId="42" applyNumberFormat="1" applyFont="1" applyBorder="1" applyAlignment="1">
      <alignment horizontal="center" vertical="center"/>
    </xf>
    <xf numFmtId="164" fontId="34" fillId="0" borderId="10" xfId="42" applyFont="1" applyFill="1" applyBorder="1" applyAlignment="1">
      <alignment horizontal="center" vertical="center"/>
    </xf>
    <xf numFmtId="164" fontId="23" fillId="0" borderId="10" xfId="42" applyNumberFormat="1" applyFont="1" applyBorder="1" applyAlignment="1">
      <alignment horizontal="center" vertical="center"/>
    </xf>
    <xf numFmtId="169" fontId="45" fillId="0" borderId="10" xfId="75" applyNumberFormat="1" applyFont="1" applyFill="1" applyBorder="1" applyAlignment="1">
      <alignment vertical="center"/>
    </xf>
    <xf numFmtId="172" fontId="23" fillId="0" borderId="0" xfId="0" applyNumberFormat="1" applyFont="1">
      <alignment horizontal="left" vertical="top" wrapText="1"/>
    </xf>
    <xf numFmtId="173" fontId="20" fillId="0" borderId="10" xfId="44" applyNumberFormat="1" applyFont="1" applyBorder="1" applyAlignment="1">
      <alignment horizontal="right" vertical="top"/>
    </xf>
    <xf numFmtId="164" fontId="23" fillId="0" borderId="10" xfId="0" applyNumberFormat="1" applyFont="1" applyBorder="1" applyAlignment="1">
      <alignment horizontal="left" vertical="top" wrapText="1"/>
    </xf>
    <xf numFmtId="164" fontId="34" fillId="0" borderId="10" xfId="42" applyNumberFormat="1" applyFont="1" applyFill="1" applyBorder="1" applyAlignment="1">
      <alignment horizontal="center" vertical="center"/>
    </xf>
    <xf numFmtId="164" fontId="34" fillId="0" borderId="10" xfId="73" applyNumberFormat="1" applyFont="1" applyFill="1" applyBorder="1" applyAlignment="1">
      <alignment horizontal="center" vertical="center" wrapText="1"/>
    </xf>
    <xf numFmtId="164" fontId="36" fillId="0" borderId="10" xfId="75" applyNumberFormat="1" applyFont="1" applyFill="1" applyBorder="1" applyAlignment="1">
      <alignment horizontal="center" vertical="center"/>
    </xf>
    <xf numFmtId="164" fontId="36" fillId="0" borderId="10" xfId="73" applyNumberFormat="1" applyFont="1" applyFill="1" applyBorder="1" applyAlignment="1">
      <alignment horizontal="center" vertical="center" wrapText="1"/>
    </xf>
    <xf numFmtId="164" fontId="34" fillId="0" borderId="10" xfId="75" applyNumberFormat="1" applyFont="1" applyFill="1" applyBorder="1" applyAlignment="1">
      <alignment horizontal="center" vertical="center"/>
    </xf>
    <xf numFmtId="164" fontId="38" fillId="0" borderId="10" xfId="73" applyNumberFormat="1" applyFont="1" applyBorder="1" applyAlignment="1">
      <alignment horizontal="center" vertical="center" wrapText="1"/>
    </xf>
    <xf numFmtId="164" fontId="45" fillId="0" borderId="10" xfId="74" applyNumberFormat="1" applyFont="1" applyBorder="1"/>
    <xf numFmtId="164" fontId="47" fillId="0" borderId="10" xfId="75" applyNumberFormat="1" applyFont="1" applyFill="1" applyBorder="1"/>
    <xf numFmtId="164" fontId="32" fillId="0" borderId="10" xfId="75" applyNumberFormat="1" applyFont="1" applyFill="1" applyBorder="1" applyAlignment="1">
      <alignment vertical="center"/>
    </xf>
    <xf numFmtId="164" fontId="47" fillId="0" borderId="10" xfId="73" applyNumberFormat="1" applyFont="1" applyBorder="1" applyAlignment="1">
      <alignment horizontal="center" vertical="center" wrapText="1"/>
    </xf>
    <xf numFmtId="164" fontId="47" fillId="0" borderId="10" xfId="75" applyNumberFormat="1" applyFont="1" applyFill="1" applyBorder="1" applyAlignment="1">
      <alignment vertical="center"/>
    </xf>
    <xf numFmtId="164" fontId="45" fillId="0" borderId="10" xfId="75" applyNumberFormat="1" applyFont="1" applyFill="1" applyBorder="1"/>
    <xf numFmtId="164" fontId="32" fillId="33" borderId="10" xfId="76" applyNumberFormat="1" applyFont="1" applyFill="1" applyBorder="1" applyAlignment="1">
      <alignment vertical="center"/>
    </xf>
    <xf numFmtId="164" fontId="47" fillId="33" borderId="10" xfId="75" applyNumberFormat="1" applyFont="1" applyFill="1" applyBorder="1" applyAlignment="1">
      <alignment vertical="center"/>
    </xf>
    <xf numFmtId="164" fontId="32" fillId="0" borderId="10" xfId="76" applyNumberFormat="1" applyFont="1" applyFill="1" applyBorder="1" applyAlignment="1">
      <alignment vertical="center"/>
    </xf>
    <xf numFmtId="164" fontId="47" fillId="33" borderId="10" xfId="76" applyNumberFormat="1" applyFont="1" applyFill="1" applyBorder="1"/>
    <xf numFmtId="0" fontId="45" fillId="0" borderId="13" xfId="74" applyFont="1" applyBorder="1" applyAlignment="1">
      <alignment horizontal="center"/>
    </xf>
    <xf numFmtId="0" fontId="45" fillId="0" borderId="11" xfId="74" applyFont="1" applyBorder="1" applyAlignment="1">
      <alignment horizontal="center"/>
    </xf>
    <xf numFmtId="0" fontId="45" fillId="0" borderId="12" xfId="74" applyFont="1" applyBorder="1" applyAlignment="1">
      <alignment horizontal="center"/>
    </xf>
    <xf numFmtId="0" fontId="45" fillId="33" borderId="12" xfId="78" applyFont="1" applyFill="1" applyBorder="1" applyAlignment="1">
      <alignment horizontal="center"/>
    </xf>
    <xf numFmtId="0" fontId="45" fillId="33" borderId="13" xfId="78" applyFont="1" applyFill="1" applyBorder="1" applyAlignment="1">
      <alignment horizontal="center"/>
    </xf>
    <xf numFmtId="0" fontId="45" fillId="33" borderId="11" xfId="78" applyFont="1" applyFill="1" applyBorder="1" applyAlignment="1">
      <alignment horizontal="center"/>
    </xf>
    <xf numFmtId="0" fontId="46" fillId="33" borderId="12" xfId="78" applyFont="1" applyFill="1" applyBorder="1" applyAlignment="1">
      <alignment horizontal="center"/>
    </xf>
    <xf numFmtId="0" fontId="46" fillId="33" borderId="13" xfId="78" applyFont="1" applyFill="1" applyBorder="1" applyAlignment="1">
      <alignment horizontal="center"/>
    </xf>
    <xf numFmtId="0" fontId="46" fillId="33" borderId="11" xfId="78" applyFont="1" applyFill="1" applyBorder="1" applyAlignment="1">
      <alignment horizontal="center"/>
    </xf>
    <xf numFmtId="0" fontId="46" fillId="33" borderId="12" xfId="74" applyFont="1" applyFill="1" applyBorder="1" applyAlignment="1">
      <alignment horizontal="center"/>
    </xf>
    <xf numFmtId="0" fontId="46" fillId="33" borderId="13" xfId="74" applyFont="1" applyFill="1" applyBorder="1" applyAlignment="1">
      <alignment horizontal="center"/>
    </xf>
    <xf numFmtId="0" fontId="46" fillId="0" borderId="12" xfId="74" applyFont="1" applyBorder="1" applyAlignment="1">
      <alignment horizontal="center"/>
    </xf>
    <xf numFmtId="0" fontId="46" fillId="0" borderId="13" xfId="74" applyFont="1" applyBorder="1" applyAlignment="1">
      <alignment horizontal="center"/>
    </xf>
    <xf numFmtId="0" fontId="46" fillId="0" borderId="11" xfId="74" applyFont="1" applyBorder="1" applyAlignment="1">
      <alignment horizontal="center"/>
    </xf>
    <xf numFmtId="0" fontId="38" fillId="0" borderId="12" xfId="73" applyFont="1" applyBorder="1" applyAlignment="1">
      <alignment horizontal="center" vertical="center" wrapText="1"/>
    </xf>
    <xf numFmtId="0" fontId="38" fillId="0" borderId="13" xfId="73" applyFont="1" applyBorder="1" applyAlignment="1">
      <alignment horizontal="center" vertical="center" wrapText="1"/>
    </xf>
    <xf numFmtId="0" fontId="38" fillId="0" borderId="11" xfId="73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top" wrapText="1"/>
    </xf>
    <xf numFmtId="0" fontId="20" fillId="0" borderId="10" xfId="0" applyFont="1" applyBorder="1" applyAlignment="1">
      <alignment horizontal="center" vertical="center" wrapText="1"/>
    </xf>
    <xf numFmtId="0" fontId="49" fillId="0" borderId="12" xfId="73" applyFont="1" applyBorder="1" applyAlignment="1">
      <alignment horizontal="center" vertical="center" wrapText="1"/>
    </xf>
    <xf numFmtId="0" fontId="49" fillId="0" borderId="13" xfId="73" applyFont="1" applyBorder="1" applyAlignment="1">
      <alignment horizontal="center" vertical="center" wrapText="1"/>
    </xf>
  </cellXfs>
  <cellStyles count="8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9" builtinId="3"/>
    <cellStyle name="Comma 19" xfId="75"/>
    <cellStyle name="Comma 2" xfId="47"/>
    <cellStyle name="Comma 2 2" xfId="49"/>
    <cellStyle name="Comma 2 2 2" xfId="52"/>
    <cellStyle name="Comma 2 5" xfId="76"/>
    <cellStyle name="Comma 3" xfId="50"/>
    <cellStyle name="Comma 3 2" xfId="53"/>
    <cellStyle name="Comma 4" xfId="51"/>
    <cellStyle name="Comma 5" xfId="54"/>
    <cellStyle name="Comma 5 2" xfId="65"/>
    <cellStyle name="Comma 6" xfId="69"/>
    <cellStyle name="Comma 7" xfId="48"/>
    <cellStyle name="Comma 8" xfId="7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3" xfId="74"/>
    <cellStyle name="Normal 11" xfId="61"/>
    <cellStyle name="Normal 12" xfId="63"/>
    <cellStyle name="Normal 14" xfId="72"/>
    <cellStyle name="Normal 18" xfId="78"/>
    <cellStyle name="Normal 2" xfId="46"/>
    <cellStyle name="Normal 2 4" xfId="73"/>
    <cellStyle name="Normal 2 6" xfId="77"/>
    <cellStyle name="Normal 3" xfId="55"/>
    <cellStyle name="Normal 3 2" xfId="66"/>
    <cellStyle name="Normal 4" xfId="57"/>
    <cellStyle name="Normal 4 2" xfId="67"/>
    <cellStyle name="Normal 5" xfId="68"/>
    <cellStyle name="Normal 5 2" xfId="59"/>
    <cellStyle name="Normal 6" xfId="64"/>
    <cellStyle name="Normal 7" xfId="45"/>
    <cellStyle name="Normal 8" xfId="60"/>
    <cellStyle name="Normal 8 2" xfId="62"/>
    <cellStyle name="Note" xfId="15" builtinId="10" customBuiltin="1"/>
    <cellStyle name="Output" xfId="10" builtinId="21" customBuiltin="1"/>
    <cellStyle name="SN_241" xfId="42"/>
    <cellStyle name="SN_b" xfId="43"/>
    <cellStyle name="SN10_bold" xfId="44"/>
    <cellStyle name="Title" xfId="1" builtinId="15" customBuiltin="1"/>
    <cellStyle name="Total" xfId="17" builtinId="25" customBuiltin="1"/>
    <cellStyle name="Warning Text" xfId="14" builtinId="11" customBuiltin="1"/>
    <cellStyle name="Обычный 2" xfId="56"/>
    <cellStyle name="Финансовый 2" xfId="70"/>
    <cellStyle name="Финансовый 3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4"/>
  <sheetViews>
    <sheetView tabSelected="1" view="pageBreakPreview" zoomScaleNormal="100" zoomScaleSheetLayoutView="100" workbookViewId="0">
      <pane xSplit="3" ySplit="7" topLeftCell="D652" activePane="bottomRight" state="frozen"/>
      <selection pane="topRight" activeCell="D1" sqref="D1"/>
      <selection pane="bottomLeft" activeCell="A8" sqref="A8"/>
      <selection pane="bottomRight" activeCell="A632" sqref="A1:A1048576"/>
    </sheetView>
  </sheetViews>
  <sheetFormatPr defaultRowHeight="13.5" x14ac:dyDescent="0.25"/>
  <cols>
    <col min="1" max="2" width="9.5703125" style="4" customWidth="1"/>
    <col min="3" max="3" width="76.140625" style="10" customWidth="1"/>
    <col min="4" max="5" width="18.140625" style="10" customWidth="1"/>
    <col min="6" max="6" width="26.5703125" style="10" customWidth="1"/>
    <col min="7" max="8" width="18.140625" style="10" customWidth="1"/>
    <col min="9" max="9" width="9.140625" style="4"/>
    <col min="10" max="10" width="15.42578125" style="4" customWidth="1"/>
    <col min="11" max="11" width="20.7109375" style="4" bestFit="1" customWidth="1"/>
    <col min="12" max="12" width="15.140625" style="4" customWidth="1"/>
    <col min="13" max="14" width="20.7109375" style="4" bestFit="1" customWidth="1"/>
    <col min="15" max="16384" width="9.140625" style="4"/>
  </cols>
  <sheetData>
    <row r="1" spans="1:14" ht="40.5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4" ht="44.25" customHeight="1" x14ac:dyDescent="0.25">
      <c r="A2" s="157" t="s">
        <v>129</v>
      </c>
      <c r="B2" s="157"/>
      <c r="C2" s="157"/>
      <c r="D2" s="157"/>
      <c r="E2" s="157"/>
      <c r="F2" s="157"/>
      <c r="G2" s="157"/>
      <c r="H2" s="157"/>
    </row>
    <row r="3" spans="1:14" ht="10.5" customHeight="1" x14ac:dyDescent="0.25">
      <c r="A3" s="158" t="s">
        <v>1</v>
      </c>
      <c r="B3" s="158"/>
      <c r="C3" s="158"/>
      <c r="D3" s="158"/>
      <c r="E3" s="158"/>
      <c r="F3" s="158"/>
      <c r="G3" s="158"/>
      <c r="H3" s="158"/>
    </row>
    <row r="5" spans="1:14" ht="14.25" x14ac:dyDescent="0.25">
      <c r="A5" s="159" t="s">
        <v>2</v>
      </c>
      <c r="B5" s="159"/>
      <c r="C5" s="159" t="s">
        <v>3</v>
      </c>
      <c r="D5" s="159" t="s">
        <v>4</v>
      </c>
      <c r="E5" s="159" t="s">
        <v>5</v>
      </c>
      <c r="F5" s="159"/>
      <c r="G5" s="159"/>
      <c r="H5" s="159"/>
    </row>
    <row r="6" spans="1:14" ht="94.5" customHeight="1" x14ac:dyDescent="0.25">
      <c r="A6" s="1" t="s">
        <v>6</v>
      </c>
      <c r="B6" s="1" t="s">
        <v>7</v>
      </c>
      <c r="C6" s="159"/>
      <c r="D6" s="159"/>
      <c r="E6" s="1" t="s">
        <v>8</v>
      </c>
      <c r="F6" s="1" t="s">
        <v>9</v>
      </c>
      <c r="G6" s="1" t="s">
        <v>10</v>
      </c>
      <c r="H6" s="1" t="s">
        <v>11</v>
      </c>
    </row>
    <row r="7" spans="1:14" ht="14.25" x14ac:dyDescent="0.25">
      <c r="A7" s="5"/>
      <c r="B7" s="5"/>
      <c r="C7" s="107" t="s">
        <v>12</v>
      </c>
      <c r="D7" s="2">
        <f>+D8+D62+D146+D154+D158+D609+D613+D618+D621+D626+D630+D633+D639+D644+D647+D651+D654+D679+D682</f>
        <v>594135894.69999993</v>
      </c>
      <c r="E7" s="2">
        <f>+E8+E62+E146+E154+E158+E609+E613+E618+E621+E626+E630+E633+E639+E644+E647+E651+E654+E679+E682</f>
        <v>405875677.89999998</v>
      </c>
      <c r="F7" s="121">
        <f>+F8+F62+F146+F154+F158+F609+F613+F618+F621+F626+F630+F633+F639+F644+F647+F651+F654+F679+F682</f>
        <v>151536976.40000001</v>
      </c>
      <c r="G7" s="2">
        <f>+G8+G62+G146+G154+G158+G609+G613+G618+G621+G626+G630+G633+G639+G644+G647+G651+G654+G679+G682</f>
        <v>7071166.9000000004</v>
      </c>
      <c r="H7" s="2">
        <f>+H8+H62+H146+H154+H158+H609+H613+H618+H621+H626+H630+H633+H639+H644+H647+H651+H654+H679+H682</f>
        <v>29652073.5</v>
      </c>
      <c r="J7" s="114"/>
      <c r="K7" s="114"/>
      <c r="L7" s="114"/>
      <c r="M7" s="114"/>
      <c r="N7" s="114"/>
    </row>
    <row r="8" spans="1:14" ht="14.25" x14ac:dyDescent="0.25">
      <c r="A8" s="5"/>
      <c r="B8" s="5"/>
      <c r="C8" s="3" t="s">
        <v>13</v>
      </c>
      <c r="D8" s="6">
        <f>+D10+D14+D23+D27+D28+D33+D34+D35+D36+D37+D52+D55+D58+D59+D60+D61</f>
        <v>70108566.5</v>
      </c>
      <c r="E8" s="6">
        <f t="shared" ref="E8:H8" si="0">+E10+E14+E23+E27+E28+E33+E34+E35+E36+E37+E52+E55+E58+E59+E60+E61</f>
        <v>2916717.4</v>
      </c>
      <c r="F8" s="6">
        <f t="shared" si="0"/>
        <v>65827727.100000001</v>
      </c>
      <c r="G8" s="6">
        <f t="shared" si="0"/>
        <v>1364122</v>
      </c>
      <c r="H8" s="6">
        <f t="shared" si="0"/>
        <v>0</v>
      </c>
      <c r="J8" s="113"/>
      <c r="K8" s="113"/>
      <c r="L8" s="113"/>
      <c r="M8" s="113"/>
      <c r="N8" s="113"/>
    </row>
    <row r="9" spans="1:14" x14ac:dyDescent="0.25">
      <c r="A9" s="5"/>
      <c r="B9" s="5"/>
      <c r="C9" s="7" t="s">
        <v>14</v>
      </c>
      <c r="D9" s="8"/>
      <c r="E9" s="8"/>
      <c r="F9" s="122"/>
      <c r="G9" s="8"/>
      <c r="H9" s="8"/>
      <c r="J9" s="113"/>
      <c r="K9" s="113"/>
      <c r="L9" s="113"/>
      <c r="M9" s="113"/>
      <c r="N9" s="113"/>
    </row>
    <row r="10" spans="1:14" x14ac:dyDescent="0.25">
      <c r="A10" s="7" t="s">
        <v>15</v>
      </c>
      <c r="B10" s="7" t="s">
        <v>16</v>
      </c>
      <c r="C10" s="8" t="s">
        <v>17</v>
      </c>
      <c r="D10" s="118">
        <f>SUM(D12:D13)</f>
        <v>500000</v>
      </c>
      <c r="E10" s="118">
        <f t="shared" ref="E10:H10" si="1">SUM(E12:E13)</f>
        <v>0</v>
      </c>
      <c r="F10" s="118">
        <f>SUM(F12:F13)</f>
        <v>480000</v>
      </c>
      <c r="G10" s="118">
        <f t="shared" si="1"/>
        <v>20000</v>
      </c>
      <c r="H10" s="118">
        <f t="shared" si="1"/>
        <v>0</v>
      </c>
    </row>
    <row r="11" spans="1:14" x14ac:dyDescent="0.25">
      <c r="A11" s="7"/>
      <c r="B11" s="7"/>
      <c r="C11" s="13" t="s">
        <v>130</v>
      </c>
      <c r="D11" s="118"/>
      <c r="E11" s="118"/>
      <c r="F11" s="118"/>
      <c r="G11" s="118"/>
      <c r="H11" s="118"/>
    </row>
    <row r="12" spans="1:14" x14ac:dyDescent="0.25">
      <c r="A12" s="7"/>
      <c r="B12" s="7"/>
      <c r="C12" s="13" t="s">
        <v>207</v>
      </c>
      <c r="D12" s="116">
        <f>SUM(E12:H12)</f>
        <v>480000</v>
      </c>
      <c r="E12" s="116"/>
      <c r="F12" s="116">
        <v>480000</v>
      </c>
      <c r="G12" s="118"/>
      <c r="H12" s="118"/>
    </row>
    <row r="13" spans="1:14" ht="49.5" customHeight="1" x14ac:dyDescent="0.25">
      <c r="A13" s="7"/>
      <c r="B13" s="7"/>
      <c r="C13" s="115" t="s">
        <v>572</v>
      </c>
      <c r="D13" s="116">
        <f>SUM(E13:H13)</f>
        <v>20000</v>
      </c>
      <c r="E13" s="116"/>
      <c r="F13" s="116"/>
      <c r="G13" s="118">
        <v>20000</v>
      </c>
      <c r="H13" s="118"/>
    </row>
    <row r="14" spans="1:14" x14ac:dyDescent="0.25">
      <c r="A14" s="7" t="s">
        <v>15</v>
      </c>
      <c r="B14" s="7" t="s">
        <v>18</v>
      </c>
      <c r="C14" s="8" t="s">
        <v>19</v>
      </c>
      <c r="D14" s="9">
        <f>SUM(D16:D22)</f>
        <v>1000000</v>
      </c>
      <c r="E14" s="9">
        <f>SUM(E16:E22)</f>
        <v>650000</v>
      </c>
      <c r="F14" s="9">
        <f>SUM(F16:F22)</f>
        <v>350000</v>
      </c>
      <c r="G14" s="9">
        <f>SUM(G16:G22)</f>
        <v>0</v>
      </c>
      <c r="H14" s="9">
        <f t="shared" ref="H14" si="2">SUM(H16:H22)</f>
        <v>0</v>
      </c>
    </row>
    <row r="15" spans="1:14" x14ac:dyDescent="0.25">
      <c r="A15" s="7"/>
      <c r="B15" s="7"/>
      <c r="C15" s="13" t="s">
        <v>130</v>
      </c>
      <c r="D15" s="9"/>
      <c r="E15" s="9"/>
      <c r="F15" s="9"/>
      <c r="G15" s="9"/>
      <c r="H15" s="9"/>
    </row>
    <row r="16" spans="1:14" ht="27" x14ac:dyDescent="0.25">
      <c r="A16" s="7"/>
      <c r="B16" s="7"/>
      <c r="C16" s="13" t="s">
        <v>208</v>
      </c>
      <c r="D16" s="116">
        <f>SUM(E16:H16)</f>
        <v>180000</v>
      </c>
      <c r="E16" s="117"/>
      <c r="F16" s="123">
        <v>180000</v>
      </c>
      <c r="G16" s="116"/>
      <c r="H16" s="116"/>
    </row>
    <row r="17" spans="1:8" ht="27" x14ac:dyDescent="0.25">
      <c r="A17" s="7"/>
      <c r="B17" s="7"/>
      <c r="C17" s="13" t="s">
        <v>209</v>
      </c>
      <c r="D17" s="116">
        <f t="shared" ref="D17:D22" si="3">SUM(E17:H17)</f>
        <v>30000</v>
      </c>
      <c r="E17" s="117"/>
      <c r="F17" s="123">
        <v>30000</v>
      </c>
      <c r="G17" s="116"/>
      <c r="H17" s="116"/>
    </row>
    <row r="18" spans="1:8" ht="27" x14ac:dyDescent="0.25">
      <c r="A18" s="7"/>
      <c r="B18" s="7"/>
      <c r="C18" s="13" t="s">
        <v>210</v>
      </c>
      <c r="D18" s="116">
        <f t="shared" si="3"/>
        <v>210000</v>
      </c>
      <c r="E18" s="117">
        <v>210000</v>
      </c>
      <c r="F18" s="123"/>
      <c r="G18" s="116"/>
      <c r="H18" s="116"/>
    </row>
    <row r="19" spans="1:8" ht="40.5" x14ac:dyDescent="0.25">
      <c r="A19" s="7"/>
      <c r="B19" s="7"/>
      <c r="C19" s="13" t="s">
        <v>573</v>
      </c>
      <c r="D19" s="116">
        <f t="shared" si="3"/>
        <v>130000</v>
      </c>
      <c r="E19" s="117">
        <v>130000</v>
      </c>
      <c r="F19" s="123"/>
      <c r="G19" s="116"/>
      <c r="H19" s="116"/>
    </row>
    <row r="20" spans="1:8" ht="40.5" x14ac:dyDescent="0.25">
      <c r="A20" s="7"/>
      <c r="B20" s="7"/>
      <c r="C20" s="13" t="s">
        <v>211</v>
      </c>
      <c r="D20" s="116">
        <f t="shared" si="3"/>
        <v>140000</v>
      </c>
      <c r="E20" s="117"/>
      <c r="F20" s="123">
        <v>140000</v>
      </c>
      <c r="G20" s="116"/>
      <c r="H20" s="116"/>
    </row>
    <row r="21" spans="1:8" ht="27" x14ac:dyDescent="0.25">
      <c r="A21" s="7"/>
      <c r="B21" s="7"/>
      <c r="C21" s="13" t="s">
        <v>212</v>
      </c>
      <c r="D21" s="116">
        <f t="shared" si="3"/>
        <v>120000</v>
      </c>
      <c r="E21" s="117">
        <v>120000</v>
      </c>
      <c r="F21" s="123"/>
      <c r="G21" s="116"/>
      <c r="H21" s="116"/>
    </row>
    <row r="22" spans="1:8" ht="27" x14ac:dyDescent="0.25">
      <c r="A22" s="7"/>
      <c r="B22" s="7"/>
      <c r="C22" s="13" t="s">
        <v>213</v>
      </c>
      <c r="D22" s="116">
        <f t="shared" si="3"/>
        <v>190000</v>
      </c>
      <c r="E22" s="117">
        <v>190000</v>
      </c>
      <c r="F22" s="123"/>
      <c r="G22" s="116"/>
      <c r="H22" s="116"/>
    </row>
    <row r="23" spans="1:8" x14ac:dyDescent="0.25">
      <c r="A23" s="7" t="s">
        <v>15</v>
      </c>
      <c r="B23" s="7" t="s">
        <v>20</v>
      </c>
      <c r="C23" s="8" t="s">
        <v>21</v>
      </c>
      <c r="D23" s="9">
        <f t="shared" ref="D23:F23" si="4">SUM(D25:D26)</f>
        <v>423717.4</v>
      </c>
      <c r="E23" s="9">
        <f t="shared" si="4"/>
        <v>403717.4</v>
      </c>
      <c r="F23" s="9">
        <f t="shared" si="4"/>
        <v>0</v>
      </c>
      <c r="G23" s="9">
        <f>SUM(G25:G26)</f>
        <v>20000</v>
      </c>
      <c r="H23" s="9">
        <f>SUM(H25:H26)</f>
        <v>0</v>
      </c>
    </row>
    <row r="24" spans="1:8" x14ac:dyDescent="0.25">
      <c r="A24" s="7"/>
      <c r="B24" s="7"/>
      <c r="C24" s="13" t="s">
        <v>130</v>
      </c>
      <c r="D24" s="9"/>
      <c r="E24" s="9"/>
      <c r="F24" s="9"/>
      <c r="G24" s="9"/>
      <c r="H24" s="9"/>
    </row>
    <row r="25" spans="1:8" ht="21.75" customHeight="1" x14ac:dyDescent="0.25">
      <c r="A25" s="7"/>
      <c r="B25" s="7"/>
      <c r="C25" s="13" t="s">
        <v>229</v>
      </c>
      <c r="D25" s="34">
        <f>SUM(E25:H25)</f>
        <v>403717.4</v>
      </c>
      <c r="E25" s="34">
        <v>403717.4</v>
      </c>
      <c r="F25" s="9"/>
      <c r="G25" s="9"/>
      <c r="H25" s="9"/>
    </row>
    <row r="26" spans="1:8" ht="32.25" customHeight="1" x14ac:dyDescent="0.25">
      <c r="A26" s="7"/>
      <c r="B26" s="7"/>
      <c r="C26" s="13" t="s">
        <v>572</v>
      </c>
      <c r="D26" s="34">
        <f>SUM(E26:H26)</f>
        <v>20000</v>
      </c>
      <c r="E26" s="34"/>
      <c r="F26" s="9"/>
      <c r="G26" s="9">
        <v>20000</v>
      </c>
      <c r="H26" s="9"/>
    </row>
    <row r="27" spans="1:8" ht="23.25" customHeight="1" x14ac:dyDescent="0.25">
      <c r="A27" s="7" t="s">
        <v>15</v>
      </c>
      <c r="B27" s="7" t="s">
        <v>22</v>
      </c>
      <c r="C27" s="8" t="s">
        <v>23</v>
      </c>
      <c r="D27" s="9">
        <v>1000000</v>
      </c>
      <c r="E27" s="9">
        <v>0</v>
      </c>
      <c r="F27" s="9">
        <v>0</v>
      </c>
      <c r="G27" s="9">
        <v>1000000</v>
      </c>
      <c r="H27" s="9">
        <v>0</v>
      </c>
    </row>
    <row r="28" spans="1:8" ht="23.25" customHeight="1" x14ac:dyDescent="0.25">
      <c r="A28" s="7" t="s">
        <v>15</v>
      </c>
      <c r="B28" s="7" t="s">
        <v>24</v>
      </c>
      <c r="C28" s="8" t="s">
        <v>25</v>
      </c>
      <c r="D28" s="9">
        <f t="shared" ref="D28:F28" si="5">SUM(D30:D32)</f>
        <v>264323.20000000001</v>
      </c>
      <c r="E28" s="9">
        <f t="shared" si="5"/>
        <v>0</v>
      </c>
      <c r="F28" s="9">
        <f t="shared" si="5"/>
        <v>227201.2</v>
      </c>
      <c r="G28" s="9">
        <f>SUM(G30:G32)</f>
        <v>37122</v>
      </c>
      <c r="H28" s="9">
        <f>SUM(H30:H32)</f>
        <v>0</v>
      </c>
    </row>
    <row r="29" spans="1:8" x14ac:dyDescent="0.25">
      <c r="A29" s="7"/>
      <c r="B29" s="7"/>
      <c r="C29" s="13" t="s">
        <v>130</v>
      </c>
      <c r="D29" s="9"/>
      <c r="E29" s="9"/>
      <c r="F29" s="9"/>
      <c r="G29" s="9"/>
      <c r="H29" s="9"/>
    </row>
    <row r="30" spans="1:8" ht="45" customHeight="1" x14ac:dyDescent="0.25">
      <c r="A30" s="7"/>
      <c r="B30" s="7"/>
      <c r="C30" s="13" t="s">
        <v>230</v>
      </c>
      <c r="D30" s="9">
        <f>SUM(E30:H30)</f>
        <v>132607.20000000001</v>
      </c>
      <c r="E30" s="9"/>
      <c r="F30" s="9">
        <v>125485.2</v>
      </c>
      <c r="G30" s="9">
        <v>7122</v>
      </c>
      <c r="H30" s="9"/>
    </row>
    <row r="31" spans="1:8" ht="51.75" customHeight="1" x14ac:dyDescent="0.25">
      <c r="A31" s="7"/>
      <c r="B31" s="7"/>
      <c r="C31" s="13" t="s">
        <v>231</v>
      </c>
      <c r="D31" s="9">
        <f t="shared" ref="D31:D32" si="6">SUM(E31:H31)</f>
        <v>83916</v>
      </c>
      <c r="E31" s="9"/>
      <c r="F31" s="9">
        <v>53916</v>
      </c>
      <c r="G31" s="9">
        <v>30000</v>
      </c>
      <c r="H31" s="9"/>
    </row>
    <row r="32" spans="1:8" ht="27.75" customHeight="1" x14ac:dyDescent="0.25">
      <c r="A32" s="7"/>
      <c r="B32" s="7"/>
      <c r="C32" s="13" t="s">
        <v>232</v>
      </c>
      <c r="D32" s="9">
        <f t="shared" si="6"/>
        <v>47800</v>
      </c>
      <c r="E32" s="9"/>
      <c r="F32" s="9">
        <v>47800</v>
      </c>
      <c r="G32" s="9"/>
      <c r="H32" s="9"/>
    </row>
    <row r="33" spans="1:8" x14ac:dyDescent="0.25">
      <c r="A33" s="7" t="s">
        <v>26</v>
      </c>
      <c r="B33" s="7" t="s">
        <v>27</v>
      </c>
      <c r="C33" s="8" t="s">
        <v>28</v>
      </c>
      <c r="D33" s="9">
        <v>1200000</v>
      </c>
      <c r="E33" s="9">
        <v>0</v>
      </c>
      <c r="F33" s="9">
        <v>1180000</v>
      </c>
      <c r="G33" s="9">
        <v>20000</v>
      </c>
      <c r="H33" s="9">
        <v>0</v>
      </c>
    </row>
    <row r="34" spans="1:8" x14ac:dyDescent="0.25">
      <c r="A34" s="7" t="s">
        <v>29</v>
      </c>
      <c r="B34" s="7" t="s">
        <v>27</v>
      </c>
      <c r="C34" s="8" t="s">
        <v>30</v>
      </c>
      <c r="D34" s="9">
        <v>49000000</v>
      </c>
      <c r="E34" s="9">
        <v>0</v>
      </c>
      <c r="F34" s="9">
        <v>49000000</v>
      </c>
      <c r="G34" s="9">
        <v>0</v>
      </c>
      <c r="H34" s="9">
        <v>0</v>
      </c>
    </row>
    <row r="35" spans="1:8" x14ac:dyDescent="0.25">
      <c r="A35" s="7" t="s">
        <v>29</v>
      </c>
      <c r="B35" s="7" t="s">
        <v>31</v>
      </c>
      <c r="C35" s="8" t="s">
        <v>32</v>
      </c>
      <c r="D35" s="9">
        <v>2500000</v>
      </c>
      <c r="E35" s="9">
        <v>0</v>
      </c>
      <c r="F35" s="9">
        <v>2500000</v>
      </c>
      <c r="G35" s="9">
        <v>0</v>
      </c>
      <c r="H35" s="9">
        <v>0</v>
      </c>
    </row>
    <row r="36" spans="1:8" ht="27" x14ac:dyDescent="0.25">
      <c r="A36" s="7" t="s">
        <v>29</v>
      </c>
      <c r="B36" s="7" t="s">
        <v>33</v>
      </c>
      <c r="C36" s="8" t="s">
        <v>34</v>
      </c>
      <c r="D36" s="9">
        <v>5088982</v>
      </c>
      <c r="E36" s="9">
        <v>0</v>
      </c>
      <c r="F36" s="9">
        <v>5088982</v>
      </c>
      <c r="G36" s="9">
        <v>0</v>
      </c>
      <c r="H36" s="9">
        <v>0</v>
      </c>
    </row>
    <row r="37" spans="1:8" ht="35.25" customHeight="1" x14ac:dyDescent="0.25">
      <c r="A37" s="7" t="s">
        <v>35</v>
      </c>
      <c r="B37" s="7" t="s">
        <v>36</v>
      </c>
      <c r="C37" s="8" t="s">
        <v>37</v>
      </c>
      <c r="D37" s="9">
        <f t="shared" ref="D37:E37" si="7">SUM(D39:D51)</f>
        <v>1400000</v>
      </c>
      <c r="E37" s="9">
        <f t="shared" si="7"/>
        <v>0</v>
      </c>
      <c r="F37" s="9">
        <f>SUM(F39:F51)</f>
        <v>1400000</v>
      </c>
      <c r="G37" s="9">
        <f t="shared" ref="G37:H37" si="8">SUM(G39:G51)</f>
        <v>0</v>
      </c>
      <c r="H37" s="9">
        <f t="shared" si="8"/>
        <v>0</v>
      </c>
    </row>
    <row r="38" spans="1:8" x14ac:dyDescent="0.25">
      <c r="A38" s="7"/>
      <c r="B38" s="7"/>
      <c r="C38" s="13" t="s">
        <v>130</v>
      </c>
      <c r="D38" s="9"/>
      <c r="E38" s="9"/>
      <c r="F38" s="9"/>
      <c r="G38" s="9"/>
      <c r="H38" s="9"/>
    </row>
    <row r="39" spans="1:8" ht="32.25" customHeight="1" x14ac:dyDescent="0.25">
      <c r="A39" s="7"/>
      <c r="B39" s="7"/>
      <c r="C39" s="13" t="s">
        <v>226</v>
      </c>
      <c r="D39" s="34">
        <f>SUM(E39:H39)</f>
        <v>96780.1</v>
      </c>
      <c r="E39" s="34"/>
      <c r="F39" s="34">
        <v>96780.1</v>
      </c>
      <c r="G39" s="9"/>
      <c r="H39" s="9"/>
    </row>
    <row r="40" spans="1:8" ht="27" x14ac:dyDescent="0.25">
      <c r="A40" s="7"/>
      <c r="B40" s="7"/>
      <c r="C40" s="13" t="s">
        <v>224</v>
      </c>
      <c r="D40" s="34">
        <f t="shared" ref="D40:D51" si="9">SUM(E40:H40)</f>
        <v>126935.8</v>
      </c>
      <c r="E40" s="34"/>
      <c r="F40" s="34">
        <v>126935.8</v>
      </c>
      <c r="G40" s="9"/>
      <c r="H40" s="9"/>
    </row>
    <row r="41" spans="1:8" ht="27" x14ac:dyDescent="0.25">
      <c r="A41" s="7"/>
      <c r="B41" s="7"/>
      <c r="C41" s="13" t="s">
        <v>225</v>
      </c>
      <c r="D41" s="34">
        <f t="shared" si="9"/>
        <v>148185</v>
      </c>
      <c r="E41" s="34"/>
      <c r="F41" s="34">
        <v>148185</v>
      </c>
      <c r="G41" s="9"/>
      <c r="H41" s="9"/>
    </row>
    <row r="42" spans="1:8" ht="34.5" customHeight="1" x14ac:dyDescent="0.25">
      <c r="A42" s="7"/>
      <c r="B42" s="7"/>
      <c r="C42" s="13" t="s">
        <v>223</v>
      </c>
      <c r="D42" s="34">
        <f t="shared" si="9"/>
        <v>84454.2</v>
      </c>
      <c r="E42" s="34"/>
      <c r="F42" s="34">
        <v>84454.2</v>
      </c>
      <c r="G42" s="9"/>
      <c r="H42" s="9"/>
    </row>
    <row r="43" spans="1:8" ht="36" customHeight="1" x14ac:dyDescent="0.25">
      <c r="A43" s="7"/>
      <c r="B43" s="7"/>
      <c r="C43" s="13" t="s">
        <v>222</v>
      </c>
      <c r="D43" s="34">
        <f t="shared" si="9"/>
        <v>125602.1</v>
      </c>
      <c r="E43" s="34"/>
      <c r="F43" s="34">
        <v>125602.1</v>
      </c>
      <c r="G43" s="9"/>
      <c r="H43" s="9"/>
    </row>
    <row r="44" spans="1:8" ht="36.75" customHeight="1" x14ac:dyDescent="0.25">
      <c r="A44" s="7"/>
      <c r="B44" s="7"/>
      <c r="C44" s="13" t="s">
        <v>214</v>
      </c>
      <c r="D44" s="34">
        <f t="shared" si="9"/>
        <v>172068.3</v>
      </c>
      <c r="E44" s="34"/>
      <c r="F44" s="34">
        <v>172068.3</v>
      </c>
      <c r="G44" s="9"/>
      <c r="H44" s="9"/>
    </row>
    <row r="45" spans="1:8" ht="31.5" customHeight="1" x14ac:dyDescent="0.25">
      <c r="A45" s="7"/>
      <c r="B45" s="7"/>
      <c r="C45" s="13" t="s">
        <v>221</v>
      </c>
      <c r="D45" s="34">
        <f t="shared" si="9"/>
        <v>131901.9</v>
      </c>
      <c r="E45" s="34"/>
      <c r="F45" s="34">
        <v>131901.9</v>
      </c>
      <c r="G45" s="9"/>
      <c r="H45" s="9"/>
    </row>
    <row r="46" spans="1:8" ht="32.25" customHeight="1" x14ac:dyDescent="0.25">
      <c r="A46" s="7"/>
      <c r="B46" s="7"/>
      <c r="C46" s="13" t="s">
        <v>220</v>
      </c>
      <c r="D46" s="34">
        <f t="shared" si="9"/>
        <v>63002.2</v>
      </c>
      <c r="E46" s="34"/>
      <c r="F46" s="34">
        <v>63002.2</v>
      </c>
      <c r="G46" s="9"/>
      <c r="H46" s="9"/>
    </row>
    <row r="47" spans="1:8" ht="21" customHeight="1" x14ac:dyDescent="0.25">
      <c r="A47" s="7"/>
      <c r="B47" s="7"/>
      <c r="C47" s="13" t="s">
        <v>215</v>
      </c>
      <c r="D47" s="34">
        <f t="shared" si="9"/>
        <v>155216.29999999999</v>
      </c>
      <c r="E47" s="34"/>
      <c r="F47" s="34">
        <v>155216.29999999999</v>
      </c>
      <c r="G47" s="9"/>
      <c r="H47" s="9"/>
    </row>
    <row r="48" spans="1:8" ht="21" customHeight="1" x14ac:dyDescent="0.25">
      <c r="A48" s="7"/>
      <c r="B48" s="7"/>
      <c r="C48" s="13" t="s">
        <v>216</v>
      </c>
      <c r="D48" s="34">
        <f t="shared" si="9"/>
        <v>146761.79999999999</v>
      </c>
      <c r="E48" s="34"/>
      <c r="F48" s="34">
        <v>146761.79999999999</v>
      </c>
      <c r="G48" s="9"/>
      <c r="H48" s="9"/>
    </row>
    <row r="49" spans="1:8" ht="40.5" x14ac:dyDescent="0.25">
      <c r="A49" s="7"/>
      <c r="B49" s="7"/>
      <c r="C49" s="13" t="s">
        <v>217</v>
      </c>
      <c r="D49" s="34">
        <f t="shared" si="9"/>
        <v>73770.8</v>
      </c>
      <c r="E49" s="34"/>
      <c r="F49" s="34">
        <v>73770.8</v>
      </c>
      <c r="G49" s="9"/>
      <c r="H49" s="9"/>
    </row>
    <row r="50" spans="1:8" ht="24" customHeight="1" x14ac:dyDescent="0.25">
      <c r="A50" s="7"/>
      <c r="B50" s="7"/>
      <c r="C50" s="13" t="s">
        <v>218</v>
      </c>
      <c r="D50" s="34">
        <f t="shared" si="9"/>
        <v>37831.5</v>
      </c>
      <c r="E50" s="34"/>
      <c r="F50" s="34">
        <v>37831.5</v>
      </c>
      <c r="G50" s="9"/>
      <c r="H50" s="9"/>
    </row>
    <row r="51" spans="1:8" ht="38.25" customHeight="1" x14ac:dyDescent="0.25">
      <c r="A51" s="7"/>
      <c r="B51" s="7"/>
      <c r="C51" s="13" t="s">
        <v>219</v>
      </c>
      <c r="D51" s="34">
        <f t="shared" si="9"/>
        <v>37490</v>
      </c>
      <c r="E51" s="34"/>
      <c r="F51" s="34">
        <v>37490</v>
      </c>
      <c r="G51" s="9"/>
      <c r="H51" s="9"/>
    </row>
    <row r="52" spans="1:8" x14ac:dyDescent="0.25">
      <c r="A52" s="7" t="s">
        <v>35</v>
      </c>
      <c r="B52" s="7" t="s">
        <v>38</v>
      </c>
      <c r="C52" s="8" t="s">
        <v>39</v>
      </c>
      <c r="D52" s="9">
        <f t="shared" ref="D52:E52" si="10">+D54</f>
        <v>200000</v>
      </c>
      <c r="E52" s="9">
        <f t="shared" si="10"/>
        <v>0</v>
      </c>
      <c r="F52" s="9">
        <f>+F54</f>
        <v>200000</v>
      </c>
      <c r="G52" s="9">
        <f t="shared" ref="G52:H52" si="11">+G54</f>
        <v>0</v>
      </c>
      <c r="H52" s="9">
        <f t="shared" si="11"/>
        <v>0</v>
      </c>
    </row>
    <row r="53" spans="1:8" x14ac:dyDescent="0.25">
      <c r="A53" s="7"/>
      <c r="B53" s="7"/>
      <c r="C53" s="13" t="s">
        <v>130</v>
      </c>
      <c r="D53" s="9"/>
      <c r="E53" s="9"/>
      <c r="F53" s="9"/>
      <c r="G53" s="9"/>
      <c r="H53" s="9"/>
    </row>
    <row r="54" spans="1:8" ht="39.75" customHeight="1" x14ac:dyDescent="0.25">
      <c r="A54" s="7"/>
      <c r="B54" s="7"/>
      <c r="C54" s="13" t="s">
        <v>227</v>
      </c>
      <c r="D54" s="34">
        <f>SUM(E54:H54)</f>
        <v>200000</v>
      </c>
      <c r="E54" s="34"/>
      <c r="F54" s="34">
        <v>200000</v>
      </c>
      <c r="G54" s="9"/>
      <c r="H54" s="9"/>
    </row>
    <row r="55" spans="1:8" x14ac:dyDescent="0.25">
      <c r="A55" s="7" t="s">
        <v>35</v>
      </c>
      <c r="B55" s="7" t="s">
        <v>22</v>
      </c>
      <c r="C55" s="8" t="s">
        <v>40</v>
      </c>
      <c r="D55" s="9">
        <f>+D57</f>
        <v>130000</v>
      </c>
      <c r="E55" s="9">
        <f>+E57</f>
        <v>130000</v>
      </c>
      <c r="F55" s="9">
        <f t="shared" ref="F55:H55" si="12">+F57</f>
        <v>0</v>
      </c>
      <c r="G55" s="9">
        <f t="shared" si="12"/>
        <v>0</v>
      </c>
      <c r="H55" s="9">
        <f t="shared" si="12"/>
        <v>0</v>
      </c>
    </row>
    <row r="56" spans="1:8" x14ac:dyDescent="0.25">
      <c r="A56" s="7"/>
      <c r="B56" s="7"/>
      <c r="C56" s="13" t="s">
        <v>130</v>
      </c>
      <c r="D56" s="9"/>
      <c r="E56" s="9"/>
      <c r="F56" s="9"/>
      <c r="G56" s="9"/>
      <c r="H56" s="9"/>
    </row>
    <row r="57" spans="1:8" ht="37.5" customHeight="1" x14ac:dyDescent="0.25">
      <c r="A57" s="7"/>
      <c r="B57" s="7"/>
      <c r="C57" s="13" t="s">
        <v>228</v>
      </c>
      <c r="D57" s="9">
        <f>SUM(E57:H57)</f>
        <v>130000</v>
      </c>
      <c r="E57" s="9">
        <v>130000</v>
      </c>
      <c r="F57" s="9"/>
      <c r="G57" s="9"/>
      <c r="H57" s="9"/>
    </row>
    <row r="58" spans="1:8" x14ac:dyDescent="0.25">
      <c r="A58" s="7" t="s">
        <v>41</v>
      </c>
      <c r="B58" s="7" t="s">
        <v>27</v>
      </c>
      <c r="C58" s="8" t="s">
        <v>42</v>
      </c>
      <c r="D58" s="9">
        <v>2500000</v>
      </c>
      <c r="E58" s="9">
        <v>0</v>
      </c>
      <c r="F58" s="9">
        <v>2500000</v>
      </c>
      <c r="G58" s="9">
        <v>0</v>
      </c>
      <c r="H58" s="9">
        <v>0</v>
      </c>
    </row>
    <row r="59" spans="1:8" x14ac:dyDescent="0.25">
      <c r="A59" s="7" t="s">
        <v>41</v>
      </c>
      <c r="B59" s="7" t="s">
        <v>31</v>
      </c>
      <c r="C59" s="8" t="s">
        <v>43</v>
      </c>
      <c r="D59" s="9">
        <v>2000000</v>
      </c>
      <c r="E59" s="9">
        <v>1733000</v>
      </c>
      <c r="F59" s="9">
        <v>0</v>
      </c>
      <c r="G59" s="9">
        <v>267000</v>
      </c>
      <c r="H59" s="9">
        <v>0</v>
      </c>
    </row>
    <row r="60" spans="1:8" ht="27" x14ac:dyDescent="0.25">
      <c r="A60" s="7" t="s">
        <v>41</v>
      </c>
      <c r="B60" s="7" t="s">
        <v>44</v>
      </c>
      <c r="C60" s="8" t="s">
        <v>45</v>
      </c>
      <c r="D60" s="9">
        <v>901543.9</v>
      </c>
      <c r="E60" s="9">
        <v>0</v>
      </c>
      <c r="F60" s="9">
        <v>901543.9</v>
      </c>
      <c r="G60" s="9">
        <v>0</v>
      </c>
      <c r="H60" s="9">
        <v>0</v>
      </c>
    </row>
    <row r="61" spans="1:8" ht="27" x14ac:dyDescent="0.25">
      <c r="A61" s="7" t="s">
        <v>46</v>
      </c>
      <c r="B61" s="7" t="s">
        <v>47</v>
      </c>
      <c r="C61" s="8" t="s">
        <v>48</v>
      </c>
      <c r="D61" s="9">
        <v>2000000</v>
      </c>
      <c r="E61" s="9">
        <v>0</v>
      </c>
      <c r="F61" s="9">
        <v>2000000</v>
      </c>
      <c r="G61" s="9">
        <v>0</v>
      </c>
      <c r="H61" s="9">
        <v>0</v>
      </c>
    </row>
    <row r="62" spans="1:8" ht="14.25" x14ac:dyDescent="0.25">
      <c r="A62" s="5"/>
      <c r="B62" s="5"/>
      <c r="C62" s="3" t="s">
        <v>49</v>
      </c>
      <c r="D62" s="6">
        <f>+D64+D85</f>
        <v>12303418.6</v>
      </c>
      <c r="E62" s="6">
        <f t="shared" ref="E62:H62" si="13">+E64+E85</f>
        <v>5632108.6000000006</v>
      </c>
      <c r="F62" s="6">
        <f>+F64+F85</f>
        <v>2994810</v>
      </c>
      <c r="G62" s="6">
        <f t="shared" si="13"/>
        <v>55000</v>
      </c>
      <c r="H62" s="6">
        <f t="shared" si="13"/>
        <v>3621500</v>
      </c>
    </row>
    <row r="63" spans="1:8" x14ac:dyDescent="0.25">
      <c r="A63" s="5"/>
      <c r="B63" s="5"/>
      <c r="C63" s="7" t="s">
        <v>14</v>
      </c>
      <c r="D63" s="8"/>
      <c r="E63" s="8"/>
      <c r="F63" s="122"/>
      <c r="G63" s="8"/>
      <c r="H63" s="8"/>
    </row>
    <row r="64" spans="1:8" ht="14.25" x14ac:dyDescent="0.25">
      <c r="A64" s="25" t="s">
        <v>50</v>
      </c>
      <c r="B64" s="25" t="s">
        <v>16</v>
      </c>
      <c r="C64" s="26" t="s">
        <v>51</v>
      </c>
      <c r="D64" s="27">
        <f>+D66+D68+D71+D73+D76+D78+D80+D83</f>
        <v>3621500</v>
      </c>
      <c r="E64" s="27">
        <f t="shared" ref="E64:G64" si="14">+E66+E68+E71+E73+E76+E78+E80+E83</f>
        <v>0</v>
      </c>
      <c r="F64" s="27">
        <f t="shared" si="14"/>
        <v>0</v>
      </c>
      <c r="G64" s="27">
        <f t="shared" si="14"/>
        <v>0</v>
      </c>
      <c r="H64" s="27">
        <f>+H66+H68+H71+H73+H76+H78+H80+H83</f>
        <v>3621500</v>
      </c>
    </row>
    <row r="65" spans="1:8" x14ac:dyDescent="0.25">
      <c r="A65" s="22"/>
      <c r="B65" s="22"/>
      <c r="C65" s="13" t="s">
        <v>146</v>
      </c>
      <c r="D65" s="23"/>
      <c r="E65" s="23"/>
      <c r="F65" s="124"/>
      <c r="G65" s="23"/>
      <c r="H65" s="23"/>
    </row>
    <row r="66" spans="1:8" x14ac:dyDescent="0.2">
      <c r="A66" s="14"/>
      <c r="B66" s="15"/>
      <c r="C66" s="16" t="s">
        <v>147</v>
      </c>
      <c r="D66" s="17">
        <f>+D67</f>
        <v>221500</v>
      </c>
      <c r="E66" s="17">
        <f t="shared" ref="E66:G66" si="15">+E67</f>
        <v>0</v>
      </c>
      <c r="F66" s="125">
        <f t="shared" si="15"/>
        <v>0</v>
      </c>
      <c r="G66" s="17">
        <f t="shared" si="15"/>
        <v>0</v>
      </c>
      <c r="H66" s="17">
        <f>+H67</f>
        <v>221500</v>
      </c>
    </row>
    <row r="67" spans="1:8" x14ac:dyDescent="0.25">
      <c r="A67" s="22"/>
      <c r="B67" s="15"/>
      <c r="C67" s="13" t="s">
        <v>148</v>
      </c>
      <c r="D67" s="23">
        <f>+E67+F67+G67+H67</f>
        <v>221500</v>
      </c>
      <c r="E67" s="23"/>
      <c r="F67" s="124"/>
      <c r="G67" s="23"/>
      <c r="H67" s="23">
        <v>221500</v>
      </c>
    </row>
    <row r="68" spans="1:8" x14ac:dyDescent="0.2">
      <c r="A68" s="14"/>
      <c r="B68" s="15"/>
      <c r="C68" s="16" t="s">
        <v>149</v>
      </c>
      <c r="D68" s="17">
        <f>+D69+D70</f>
        <v>880000</v>
      </c>
      <c r="E68" s="17">
        <f t="shared" ref="E68:H68" si="16">+E69+E70</f>
        <v>0</v>
      </c>
      <c r="F68" s="125">
        <f t="shared" si="16"/>
        <v>0</v>
      </c>
      <c r="G68" s="17">
        <f t="shared" si="16"/>
        <v>0</v>
      </c>
      <c r="H68" s="17">
        <f t="shared" si="16"/>
        <v>880000</v>
      </c>
    </row>
    <row r="69" spans="1:8" x14ac:dyDescent="0.25">
      <c r="A69" s="22"/>
      <c r="B69" s="15"/>
      <c r="C69" s="13" t="s">
        <v>150</v>
      </c>
      <c r="D69" s="23">
        <f>+F69+G69+H69+E69</f>
        <v>550000</v>
      </c>
      <c r="E69" s="23"/>
      <c r="F69" s="124"/>
      <c r="G69" s="23"/>
      <c r="H69" s="23">
        <v>550000</v>
      </c>
    </row>
    <row r="70" spans="1:8" x14ac:dyDescent="0.25">
      <c r="A70" s="22"/>
      <c r="B70" s="15"/>
      <c r="C70" s="13" t="s">
        <v>151</v>
      </c>
      <c r="D70" s="23">
        <f>+F70+G70+H70+E70</f>
        <v>330000</v>
      </c>
      <c r="E70" s="23"/>
      <c r="F70" s="124"/>
      <c r="G70" s="23"/>
      <c r="H70" s="23">
        <v>330000</v>
      </c>
    </row>
    <row r="71" spans="1:8" x14ac:dyDescent="0.25">
      <c r="A71" s="18"/>
      <c r="B71" s="15"/>
      <c r="C71" s="16" t="s">
        <v>152</v>
      </c>
      <c r="D71" s="17">
        <f>+D72</f>
        <v>155000</v>
      </c>
      <c r="E71" s="17">
        <f t="shared" ref="E71:H71" si="17">+E72</f>
        <v>0</v>
      </c>
      <c r="F71" s="125">
        <f t="shared" si="17"/>
        <v>0</v>
      </c>
      <c r="G71" s="17">
        <f t="shared" si="17"/>
        <v>0</v>
      </c>
      <c r="H71" s="17">
        <f t="shared" si="17"/>
        <v>155000</v>
      </c>
    </row>
    <row r="72" spans="1:8" ht="27" x14ac:dyDescent="0.25">
      <c r="A72" s="22"/>
      <c r="B72" s="15"/>
      <c r="C72" s="13" t="s">
        <v>153</v>
      </c>
      <c r="D72" s="23">
        <f>+E72+F72+G72+H72</f>
        <v>155000</v>
      </c>
      <c r="E72" s="23"/>
      <c r="F72" s="124"/>
      <c r="G72" s="23"/>
      <c r="H72" s="23">
        <v>155000</v>
      </c>
    </row>
    <row r="73" spans="1:8" x14ac:dyDescent="0.25">
      <c r="A73" s="18"/>
      <c r="B73" s="15"/>
      <c r="C73" s="16" t="s">
        <v>154</v>
      </c>
      <c r="D73" s="17">
        <f>+D74+D75</f>
        <v>750000</v>
      </c>
      <c r="E73" s="17">
        <f t="shared" ref="E73:H73" si="18">+E74+E75</f>
        <v>0</v>
      </c>
      <c r="F73" s="125">
        <f t="shared" si="18"/>
        <v>0</v>
      </c>
      <c r="G73" s="17">
        <f t="shared" si="18"/>
        <v>0</v>
      </c>
      <c r="H73" s="17">
        <f t="shared" si="18"/>
        <v>750000</v>
      </c>
    </row>
    <row r="74" spans="1:8" x14ac:dyDescent="0.25">
      <c r="A74" s="22"/>
      <c r="B74" s="15"/>
      <c r="C74" s="13" t="s">
        <v>155</v>
      </c>
      <c r="D74" s="23">
        <f>+E74+F74+G74+H74</f>
        <v>550000</v>
      </c>
      <c r="E74" s="23"/>
      <c r="F74" s="124"/>
      <c r="G74" s="23"/>
      <c r="H74" s="23">
        <v>550000</v>
      </c>
    </row>
    <row r="75" spans="1:8" x14ac:dyDescent="0.25">
      <c r="A75" s="22"/>
      <c r="B75" s="15"/>
      <c r="C75" s="13" t="s">
        <v>156</v>
      </c>
      <c r="D75" s="23">
        <f>+E75+F75+G75+H75</f>
        <v>200000</v>
      </c>
      <c r="E75" s="23"/>
      <c r="F75" s="124"/>
      <c r="G75" s="23"/>
      <c r="H75" s="23">
        <v>200000</v>
      </c>
    </row>
    <row r="76" spans="1:8" x14ac:dyDescent="0.25">
      <c r="A76" s="18"/>
      <c r="B76" s="15"/>
      <c r="C76" s="16" t="s">
        <v>157</v>
      </c>
      <c r="D76" s="17">
        <f>+D77</f>
        <v>550000</v>
      </c>
      <c r="E76" s="17">
        <f t="shared" ref="E76:H76" si="19">+E77</f>
        <v>0</v>
      </c>
      <c r="F76" s="125">
        <f t="shared" si="19"/>
        <v>0</v>
      </c>
      <c r="G76" s="17">
        <f t="shared" si="19"/>
        <v>0</v>
      </c>
      <c r="H76" s="17">
        <f t="shared" si="19"/>
        <v>550000</v>
      </c>
    </row>
    <row r="77" spans="1:8" x14ac:dyDescent="0.25">
      <c r="A77" s="22"/>
      <c r="B77" s="15"/>
      <c r="C77" s="13" t="s">
        <v>158</v>
      </c>
      <c r="D77" s="23">
        <f>+E77+F77+G77+H77</f>
        <v>550000</v>
      </c>
      <c r="E77" s="23"/>
      <c r="F77" s="124"/>
      <c r="G77" s="23"/>
      <c r="H77" s="23">
        <v>550000</v>
      </c>
    </row>
    <row r="78" spans="1:8" x14ac:dyDescent="0.25">
      <c r="A78" s="22"/>
      <c r="B78" s="15"/>
      <c r="C78" s="16" t="s">
        <v>159</v>
      </c>
      <c r="D78" s="24">
        <f>+D79</f>
        <v>300000</v>
      </c>
      <c r="E78" s="24">
        <f t="shared" ref="E78:H78" si="20">+E79</f>
        <v>0</v>
      </c>
      <c r="F78" s="126">
        <f t="shared" si="20"/>
        <v>0</v>
      </c>
      <c r="G78" s="24">
        <f t="shared" si="20"/>
        <v>0</v>
      </c>
      <c r="H78" s="24">
        <f t="shared" si="20"/>
        <v>300000</v>
      </c>
    </row>
    <row r="79" spans="1:8" x14ac:dyDescent="0.25">
      <c r="A79" s="22"/>
      <c r="B79" s="15"/>
      <c r="C79" s="19" t="s">
        <v>160</v>
      </c>
      <c r="D79" s="23">
        <f>+E79+F79+G79+H79</f>
        <v>300000</v>
      </c>
      <c r="E79" s="23"/>
      <c r="F79" s="124"/>
      <c r="G79" s="23"/>
      <c r="H79" s="23">
        <v>300000</v>
      </c>
    </row>
    <row r="80" spans="1:8" x14ac:dyDescent="0.25">
      <c r="A80" s="18"/>
      <c r="B80" s="15"/>
      <c r="C80" s="16" t="s">
        <v>161</v>
      </c>
      <c r="D80" s="17">
        <f>+D81+D82</f>
        <v>330000</v>
      </c>
      <c r="E80" s="17">
        <f t="shared" ref="E80:H80" si="21">+E81+E82</f>
        <v>0</v>
      </c>
      <c r="F80" s="125">
        <f t="shared" si="21"/>
        <v>0</v>
      </c>
      <c r="G80" s="17">
        <f t="shared" si="21"/>
        <v>0</v>
      </c>
      <c r="H80" s="17">
        <f t="shared" si="21"/>
        <v>330000</v>
      </c>
    </row>
    <row r="81" spans="1:8" x14ac:dyDescent="0.25">
      <c r="A81" s="22"/>
      <c r="B81" s="15"/>
      <c r="C81" s="13" t="s">
        <v>162</v>
      </c>
      <c r="D81" s="23">
        <f>+E81+F81+G81+H81</f>
        <v>300000</v>
      </c>
      <c r="E81" s="23"/>
      <c r="F81" s="124"/>
      <c r="G81" s="23"/>
      <c r="H81" s="23">
        <v>300000</v>
      </c>
    </row>
    <row r="82" spans="1:8" ht="27" x14ac:dyDescent="0.25">
      <c r="A82" s="22"/>
      <c r="B82" s="15"/>
      <c r="C82" s="13" t="s">
        <v>163</v>
      </c>
      <c r="D82" s="23">
        <f t="shared" ref="D82" si="22">+E82+F82+G82+H82</f>
        <v>30000</v>
      </c>
      <c r="E82" s="23"/>
      <c r="F82" s="124"/>
      <c r="G82" s="23"/>
      <c r="H82" s="23">
        <v>30000</v>
      </c>
    </row>
    <row r="83" spans="1:8" x14ac:dyDescent="0.2">
      <c r="A83" s="14"/>
      <c r="B83" s="15"/>
      <c r="C83" s="16" t="s">
        <v>164</v>
      </c>
      <c r="D83" s="17">
        <f>+D84</f>
        <v>435000</v>
      </c>
      <c r="E83" s="17">
        <f t="shared" ref="E83:G83" si="23">+E84</f>
        <v>0</v>
      </c>
      <c r="F83" s="125">
        <f t="shared" si="23"/>
        <v>0</v>
      </c>
      <c r="G83" s="17">
        <f t="shared" si="23"/>
        <v>0</v>
      </c>
      <c r="H83" s="17">
        <f>+H84</f>
        <v>435000</v>
      </c>
    </row>
    <row r="84" spans="1:8" x14ac:dyDescent="0.2">
      <c r="A84" s="20"/>
      <c r="B84" s="15"/>
      <c r="C84" s="13" t="s">
        <v>569</v>
      </c>
      <c r="D84" s="23">
        <f>+E84+F84+H84+G84</f>
        <v>435000</v>
      </c>
      <c r="E84" s="21"/>
      <c r="F84" s="127"/>
      <c r="G84" s="21"/>
      <c r="H84" s="23">
        <v>435000</v>
      </c>
    </row>
    <row r="85" spans="1:8" ht="14.25" x14ac:dyDescent="0.25">
      <c r="A85" s="25" t="s">
        <v>50</v>
      </c>
      <c r="B85" s="25" t="s">
        <v>52</v>
      </c>
      <c r="C85" s="26" t="s">
        <v>53</v>
      </c>
      <c r="D85" s="27">
        <f>+D87+D90+D96+D104+D114+D119+D123+D127+D133+D140+D142</f>
        <v>8681918.5999999996</v>
      </c>
      <c r="E85" s="27">
        <f t="shared" ref="E85:H85" si="24">+E87+E90+E96+E104+E114+E119+E123+E127+E133+E140+E142</f>
        <v>5632108.6000000006</v>
      </c>
      <c r="F85" s="27">
        <f>+F87+F90+F96+F104+F114+F119+F123+F127+F133+F140+F142</f>
        <v>2994810</v>
      </c>
      <c r="G85" s="27">
        <f t="shared" si="24"/>
        <v>55000</v>
      </c>
      <c r="H85" s="27">
        <f t="shared" si="24"/>
        <v>0</v>
      </c>
    </row>
    <row r="86" spans="1:8" x14ac:dyDescent="0.25">
      <c r="A86" s="28"/>
      <c r="B86" s="28"/>
      <c r="C86" s="13" t="s">
        <v>146</v>
      </c>
      <c r="D86" s="21"/>
      <c r="E86" s="21"/>
      <c r="F86" s="127"/>
      <c r="G86" s="21"/>
      <c r="H86" s="21"/>
    </row>
    <row r="87" spans="1:8" x14ac:dyDescent="0.25">
      <c r="A87" s="28"/>
      <c r="B87" s="28"/>
      <c r="C87" s="16" t="s">
        <v>165</v>
      </c>
      <c r="D87" s="32">
        <f>SUM(D88:D89)</f>
        <v>1185000</v>
      </c>
      <c r="E87" s="32">
        <v>0</v>
      </c>
      <c r="F87" s="125">
        <v>1185000</v>
      </c>
      <c r="G87" s="32">
        <v>0</v>
      </c>
      <c r="H87" s="32">
        <v>0</v>
      </c>
    </row>
    <row r="88" spans="1:8" x14ac:dyDescent="0.2">
      <c r="A88" s="29"/>
      <c r="B88" s="29"/>
      <c r="C88" s="30" t="s">
        <v>166</v>
      </c>
      <c r="D88" s="33">
        <f>+E88+F88+G88+H88</f>
        <v>371000</v>
      </c>
      <c r="E88" s="33"/>
      <c r="F88" s="127">
        <v>371000</v>
      </c>
      <c r="G88" s="33"/>
      <c r="H88" s="33"/>
    </row>
    <row r="89" spans="1:8" x14ac:dyDescent="0.2">
      <c r="A89" s="29"/>
      <c r="B89" s="29"/>
      <c r="C89" s="30" t="s">
        <v>167</v>
      </c>
      <c r="D89" s="33">
        <f t="shared" ref="D89" si="25">+E89+F89+G89+H89</f>
        <v>814000</v>
      </c>
      <c r="E89" s="33"/>
      <c r="F89" s="127">
        <v>814000</v>
      </c>
      <c r="G89" s="33"/>
      <c r="H89" s="33"/>
    </row>
    <row r="90" spans="1:8" x14ac:dyDescent="0.2">
      <c r="A90" s="31"/>
      <c r="B90" s="31"/>
      <c r="C90" s="16" t="s">
        <v>147</v>
      </c>
      <c r="D90" s="17">
        <f>SUM(D91:D95)</f>
        <v>606700</v>
      </c>
      <c r="E90" s="17">
        <v>606700</v>
      </c>
      <c r="F90" s="125">
        <v>0</v>
      </c>
      <c r="G90" s="17">
        <v>0</v>
      </c>
      <c r="H90" s="17">
        <v>0</v>
      </c>
    </row>
    <row r="91" spans="1:8" x14ac:dyDescent="0.2">
      <c r="A91" s="29"/>
      <c r="B91" s="15"/>
      <c r="C91" s="30" t="s">
        <v>168</v>
      </c>
      <c r="D91" s="33">
        <f>SUM(E91:H91)</f>
        <v>55200</v>
      </c>
      <c r="E91" s="33">
        <v>55200</v>
      </c>
      <c r="F91" s="127"/>
      <c r="G91" s="33"/>
      <c r="H91" s="33"/>
    </row>
    <row r="92" spans="1:8" x14ac:dyDescent="0.2">
      <c r="A92" s="29"/>
      <c r="B92" s="15"/>
      <c r="C92" s="30" t="s">
        <v>169</v>
      </c>
      <c r="D92" s="33">
        <f t="shared" ref="D92:D93" si="26">SUM(E92:H92)</f>
        <v>55200</v>
      </c>
      <c r="E92" s="33">
        <v>55200</v>
      </c>
      <c r="F92" s="127"/>
      <c r="G92" s="33"/>
      <c r="H92" s="33"/>
    </row>
    <row r="93" spans="1:8" x14ac:dyDescent="0.2">
      <c r="A93" s="29"/>
      <c r="B93" s="15"/>
      <c r="C93" s="30" t="s">
        <v>170</v>
      </c>
      <c r="D93" s="33">
        <f t="shared" si="26"/>
        <v>55200</v>
      </c>
      <c r="E93" s="33">
        <v>55200</v>
      </c>
      <c r="F93" s="127"/>
      <c r="G93" s="33"/>
      <c r="H93" s="33"/>
    </row>
    <row r="94" spans="1:8" x14ac:dyDescent="0.2">
      <c r="A94" s="29"/>
      <c r="B94" s="15"/>
      <c r="C94" s="30" t="s">
        <v>171</v>
      </c>
      <c r="D94" s="33">
        <f>SUM(E94:H94)</f>
        <v>191100</v>
      </c>
      <c r="E94" s="33">
        <v>191100</v>
      </c>
      <c r="F94" s="127"/>
      <c r="G94" s="33"/>
      <c r="H94" s="33"/>
    </row>
    <row r="95" spans="1:8" x14ac:dyDescent="0.2">
      <c r="A95" s="31"/>
      <c r="B95" s="31"/>
      <c r="C95" s="30" t="s">
        <v>570</v>
      </c>
      <c r="D95" s="33">
        <f>SUM(E95:H95)</f>
        <v>250000</v>
      </c>
      <c r="E95" s="33">
        <v>250000</v>
      </c>
      <c r="F95" s="127"/>
      <c r="G95" s="33"/>
      <c r="H95" s="33"/>
    </row>
    <row r="96" spans="1:8" x14ac:dyDescent="0.2">
      <c r="A96" s="29"/>
      <c r="B96" s="29"/>
      <c r="C96" s="16" t="s">
        <v>149</v>
      </c>
      <c r="D96" s="17">
        <f>SUM(D97:D103)</f>
        <v>871729.8</v>
      </c>
      <c r="E96" s="17">
        <f t="shared" ref="E96:H96" si="27">SUM(E97:E103)</f>
        <v>371729.8</v>
      </c>
      <c r="F96" s="125">
        <f t="shared" si="27"/>
        <v>500000</v>
      </c>
      <c r="G96" s="17">
        <f t="shared" si="27"/>
        <v>0</v>
      </c>
      <c r="H96" s="17">
        <f t="shared" si="27"/>
        <v>0</v>
      </c>
    </row>
    <row r="97" spans="1:8" x14ac:dyDescent="0.2">
      <c r="A97" s="29"/>
      <c r="B97" s="29"/>
      <c r="C97" s="30" t="s">
        <v>172</v>
      </c>
      <c r="D97" s="33">
        <f>+E97+F97+G97+H97</f>
        <v>55200</v>
      </c>
      <c r="E97" s="33">
        <v>55200</v>
      </c>
      <c r="F97" s="127"/>
      <c r="G97" s="33"/>
      <c r="H97" s="33"/>
    </row>
    <row r="98" spans="1:8" x14ac:dyDescent="0.2">
      <c r="A98" s="29"/>
      <c r="B98" s="29"/>
      <c r="C98" s="30" t="s">
        <v>173</v>
      </c>
      <c r="D98" s="33">
        <f t="shared" ref="D98:D103" si="28">+E98+F98+G98+H98</f>
        <v>55200</v>
      </c>
      <c r="E98" s="33">
        <v>55200</v>
      </c>
      <c r="F98" s="127"/>
      <c r="G98" s="33"/>
      <c r="H98" s="33"/>
    </row>
    <row r="99" spans="1:8" x14ac:dyDescent="0.2">
      <c r="A99" s="29"/>
      <c r="B99" s="29"/>
      <c r="C99" s="30" t="s">
        <v>174</v>
      </c>
      <c r="D99" s="33">
        <f t="shared" si="28"/>
        <v>55200</v>
      </c>
      <c r="E99" s="33">
        <v>55200</v>
      </c>
      <c r="F99" s="127"/>
      <c r="G99" s="33"/>
      <c r="H99" s="33"/>
    </row>
    <row r="100" spans="1:8" x14ac:dyDescent="0.2">
      <c r="A100" s="29"/>
      <c r="B100" s="29"/>
      <c r="C100" s="30" t="s">
        <v>175</v>
      </c>
      <c r="D100" s="33">
        <f t="shared" si="28"/>
        <v>55200</v>
      </c>
      <c r="E100" s="33">
        <v>55200</v>
      </c>
      <c r="F100" s="127"/>
      <c r="G100" s="33"/>
      <c r="H100" s="33"/>
    </row>
    <row r="101" spans="1:8" x14ac:dyDescent="0.2">
      <c r="A101" s="29"/>
      <c r="B101" s="29"/>
      <c r="C101" s="30" t="s">
        <v>176</v>
      </c>
      <c r="D101" s="33">
        <f t="shared" si="28"/>
        <v>55200</v>
      </c>
      <c r="E101" s="33">
        <v>55200</v>
      </c>
      <c r="F101" s="127"/>
      <c r="G101" s="33"/>
      <c r="H101" s="33"/>
    </row>
    <row r="102" spans="1:8" x14ac:dyDescent="0.2">
      <c r="A102" s="29"/>
      <c r="B102" s="29"/>
      <c r="C102" s="30" t="s">
        <v>151</v>
      </c>
      <c r="D102" s="33">
        <f t="shared" si="28"/>
        <v>500000</v>
      </c>
      <c r="E102" s="33"/>
      <c r="F102" s="127">
        <v>500000</v>
      </c>
      <c r="G102" s="33"/>
      <c r="H102" s="33"/>
    </row>
    <row r="103" spans="1:8" x14ac:dyDescent="0.25">
      <c r="A103" s="28"/>
      <c r="B103" s="28"/>
      <c r="C103" s="112" t="s">
        <v>150</v>
      </c>
      <c r="D103" s="33">
        <f t="shared" si="28"/>
        <v>95729.8</v>
      </c>
      <c r="E103" s="33">
        <v>95729.8</v>
      </c>
      <c r="F103" s="127"/>
      <c r="G103" s="33"/>
      <c r="H103" s="33"/>
    </row>
    <row r="104" spans="1:8" x14ac:dyDescent="0.2">
      <c r="A104" s="31"/>
      <c r="B104" s="31"/>
      <c r="C104" s="16" t="s">
        <v>152</v>
      </c>
      <c r="D104" s="17">
        <f>SUM(D105:D113)</f>
        <v>522200</v>
      </c>
      <c r="E104" s="17">
        <f t="shared" ref="E104:H104" si="29">SUM(E105:E113)</f>
        <v>412200</v>
      </c>
      <c r="F104" s="125">
        <f t="shared" si="29"/>
        <v>55000</v>
      </c>
      <c r="G104" s="17">
        <f t="shared" si="29"/>
        <v>55000</v>
      </c>
      <c r="H104" s="17">
        <f t="shared" si="29"/>
        <v>0</v>
      </c>
    </row>
    <row r="105" spans="1:8" ht="27" x14ac:dyDescent="0.2">
      <c r="A105" s="29"/>
      <c r="B105" s="29"/>
      <c r="C105" s="30" t="s">
        <v>153</v>
      </c>
      <c r="D105" s="33">
        <f>+E105+F105+G105+H105</f>
        <v>55000</v>
      </c>
      <c r="E105" s="17"/>
      <c r="F105" s="127">
        <v>55000</v>
      </c>
      <c r="G105" s="17"/>
      <c r="H105" s="17"/>
    </row>
    <row r="106" spans="1:8" x14ac:dyDescent="0.2">
      <c r="A106" s="29"/>
      <c r="B106" s="29"/>
      <c r="C106" s="30" t="s">
        <v>177</v>
      </c>
      <c r="D106" s="33">
        <f>+E106+F106+G106+H106</f>
        <v>55200</v>
      </c>
      <c r="E106" s="33">
        <v>55200</v>
      </c>
      <c r="F106" s="127"/>
      <c r="G106" s="33"/>
      <c r="H106" s="33"/>
    </row>
    <row r="107" spans="1:8" x14ac:dyDescent="0.2">
      <c r="A107" s="29"/>
      <c r="B107" s="29"/>
      <c r="C107" s="30" t="s">
        <v>178</v>
      </c>
      <c r="D107" s="33">
        <f t="shared" ref="D107:D111" si="30">+E107+F107+G107+H107</f>
        <v>55200</v>
      </c>
      <c r="E107" s="33">
        <v>55200</v>
      </c>
      <c r="F107" s="127"/>
      <c r="G107" s="33"/>
      <c r="H107" s="33"/>
    </row>
    <row r="108" spans="1:8" x14ac:dyDescent="0.2">
      <c r="A108" s="29"/>
      <c r="B108" s="29"/>
      <c r="C108" s="30" t="s">
        <v>179</v>
      </c>
      <c r="D108" s="33">
        <f t="shared" si="30"/>
        <v>55200</v>
      </c>
      <c r="E108" s="33">
        <v>55200</v>
      </c>
      <c r="F108" s="127"/>
      <c r="G108" s="33"/>
      <c r="H108" s="33"/>
    </row>
    <row r="109" spans="1:8" x14ac:dyDescent="0.2">
      <c r="A109" s="29"/>
      <c r="B109" s="29"/>
      <c r="C109" s="30" t="s">
        <v>180</v>
      </c>
      <c r="D109" s="33">
        <f t="shared" si="30"/>
        <v>55200</v>
      </c>
      <c r="E109" s="33">
        <v>55200</v>
      </c>
      <c r="F109" s="127"/>
      <c r="G109" s="33"/>
      <c r="H109" s="33"/>
    </row>
    <row r="110" spans="1:8" x14ac:dyDescent="0.2">
      <c r="A110" s="29"/>
      <c r="B110" s="29"/>
      <c r="C110" s="30" t="s">
        <v>181</v>
      </c>
      <c r="D110" s="33">
        <f t="shared" si="30"/>
        <v>55200</v>
      </c>
      <c r="E110" s="33">
        <v>55200</v>
      </c>
      <c r="F110" s="127"/>
      <c r="G110" s="33"/>
      <c r="H110" s="33"/>
    </row>
    <row r="111" spans="1:8" x14ac:dyDescent="0.2">
      <c r="A111" s="29"/>
      <c r="B111" s="29"/>
      <c r="C111" s="30" t="s">
        <v>182</v>
      </c>
      <c r="D111" s="33">
        <f t="shared" si="30"/>
        <v>55200</v>
      </c>
      <c r="E111" s="33">
        <v>55200</v>
      </c>
      <c r="F111" s="127"/>
      <c r="G111" s="33"/>
      <c r="H111" s="33"/>
    </row>
    <row r="112" spans="1:8" x14ac:dyDescent="0.2">
      <c r="A112" s="29"/>
      <c r="B112" s="29"/>
      <c r="C112" s="30" t="s">
        <v>183</v>
      </c>
      <c r="D112" s="33">
        <f>+E112+F112+G112+H112</f>
        <v>81000</v>
      </c>
      <c r="E112" s="33">
        <v>81000</v>
      </c>
      <c r="F112" s="127"/>
      <c r="G112" s="33"/>
      <c r="H112" s="33"/>
    </row>
    <row r="113" spans="1:8" x14ac:dyDescent="0.2">
      <c r="A113" s="31"/>
      <c r="B113" s="31"/>
      <c r="C113" s="30" t="s">
        <v>184</v>
      </c>
      <c r="D113" s="33">
        <f>+E113+F113+G113+H113</f>
        <v>55000</v>
      </c>
      <c r="E113" s="33"/>
      <c r="F113" s="127"/>
      <c r="G113" s="33">
        <v>55000</v>
      </c>
      <c r="H113" s="33"/>
    </row>
    <row r="114" spans="1:8" x14ac:dyDescent="0.2">
      <c r="A114" s="31"/>
      <c r="B114" s="31"/>
      <c r="C114" s="16" t="s">
        <v>185</v>
      </c>
      <c r="D114" s="17">
        <f>SUM(D115:D118)</f>
        <v>641400</v>
      </c>
      <c r="E114" s="17">
        <f>SUM(E115:E118)</f>
        <v>641400</v>
      </c>
      <c r="F114" s="125">
        <f>SUM(F116:F118)</f>
        <v>0</v>
      </c>
      <c r="G114" s="17">
        <f>SUM(G116:G118)</f>
        <v>0</v>
      </c>
      <c r="H114" s="17">
        <f>SUM(H116:H118)</f>
        <v>0</v>
      </c>
    </row>
    <row r="115" spans="1:8" x14ac:dyDescent="0.2">
      <c r="A115" s="29"/>
      <c r="B115" s="29"/>
      <c r="C115" s="30" t="s">
        <v>186</v>
      </c>
      <c r="D115" s="33">
        <f>+E115+F115+G115+H115</f>
        <v>450000</v>
      </c>
      <c r="E115" s="33">
        <v>450000</v>
      </c>
      <c r="F115" s="125"/>
      <c r="G115" s="17"/>
      <c r="H115" s="17"/>
    </row>
    <row r="116" spans="1:8" x14ac:dyDescent="0.2">
      <c r="A116" s="29"/>
      <c r="B116" s="29"/>
      <c r="C116" s="30" t="s">
        <v>187</v>
      </c>
      <c r="D116" s="33">
        <f>+E116+F116+G116+H116</f>
        <v>81000</v>
      </c>
      <c r="E116" s="33">
        <v>81000</v>
      </c>
      <c r="F116" s="127"/>
      <c r="G116" s="33"/>
      <c r="H116" s="33"/>
    </row>
    <row r="117" spans="1:8" x14ac:dyDescent="0.2">
      <c r="A117" s="29"/>
      <c r="B117" s="29"/>
      <c r="C117" s="30" t="s">
        <v>188</v>
      </c>
      <c r="D117" s="33">
        <f t="shared" ref="D117:D118" si="31">+E117+F117+G117+H117</f>
        <v>55200</v>
      </c>
      <c r="E117" s="33">
        <v>55200</v>
      </c>
      <c r="F117" s="127"/>
      <c r="G117" s="33"/>
      <c r="H117" s="33"/>
    </row>
    <row r="118" spans="1:8" x14ac:dyDescent="0.2">
      <c r="A118" s="31"/>
      <c r="B118" s="31"/>
      <c r="C118" s="30" t="s">
        <v>189</v>
      </c>
      <c r="D118" s="33">
        <f t="shared" si="31"/>
        <v>55200</v>
      </c>
      <c r="E118" s="33">
        <v>55200</v>
      </c>
      <c r="F118" s="127"/>
      <c r="G118" s="33"/>
      <c r="H118" s="33"/>
    </row>
    <row r="119" spans="1:8" x14ac:dyDescent="0.2">
      <c r="A119" s="29"/>
      <c r="B119" s="29"/>
      <c r="C119" s="16" t="s">
        <v>154</v>
      </c>
      <c r="D119" s="17">
        <f>SUM(D120:D122)</f>
        <v>1040101.1</v>
      </c>
      <c r="E119" s="17">
        <f>SUM(E120:E122)</f>
        <v>740291.1</v>
      </c>
      <c r="F119" s="125">
        <f>SUM(F120:F122)</f>
        <v>299810</v>
      </c>
      <c r="G119" s="17">
        <f>SUM(G120:G122)</f>
        <v>0</v>
      </c>
      <c r="H119" s="17">
        <f>SUM(H120:H122)</f>
        <v>0</v>
      </c>
    </row>
    <row r="120" spans="1:8" x14ac:dyDescent="0.2">
      <c r="A120" s="29"/>
      <c r="B120" s="29"/>
      <c r="C120" s="112" t="s">
        <v>156</v>
      </c>
      <c r="D120" s="33">
        <f>+E120+F120+G120+H120</f>
        <v>299810</v>
      </c>
      <c r="E120" s="33"/>
      <c r="F120" s="127">
        <v>299810</v>
      </c>
      <c r="G120" s="33"/>
      <c r="H120" s="33"/>
    </row>
    <row r="121" spans="1:8" x14ac:dyDescent="0.2">
      <c r="A121" s="29"/>
      <c r="B121" s="29"/>
      <c r="C121" s="30" t="s">
        <v>190</v>
      </c>
      <c r="D121" s="33">
        <f t="shared" ref="D121:D122" si="32">+E121+F121+G121+H121</f>
        <v>55200</v>
      </c>
      <c r="E121" s="33">
        <v>55200</v>
      </c>
      <c r="F121" s="127"/>
      <c r="G121" s="33"/>
      <c r="H121" s="33"/>
    </row>
    <row r="122" spans="1:8" x14ac:dyDescent="0.2">
      <c r="A122" s="31"/>
      <c r="B122" s="31"/>
      <c r="C122" s="112" t="s">
        <v>155</v>
      </c>
      <c r="D122" s="33">
        <f t="shared" si="32"/>
        <v>685091.1</v>
      </c>
      <c r="E122" s="33">
        <v>685091.1</v>
      </c>
      <c r="F122" s="127"/>
      <c r="G122" s="33"/>
      <c r="H122" s="33"/>
    </row>
    <row r="123" spans="1:8" x14ac:dyDescent="0.2">
      <c r="A123" s="29"/>
      <c r="B123" s="29"/>
      <c r="C123" s="16" t="s">
        <v>161</v>
      </c>
      <c r="D123" s="17">
        <f>SUM(D124:D126)</f>
        <v>234200</v>
      </c>
      <c r="E123" s="17">
        <f>SUM(E124:E126)</f>
        <v>234200</v>
      </c>
      <c r="F123" s="125">
        <f>SUM(F124:F126)</f>
        <v>0</v>
      </c>
      <c r="G123" s="17">
        <f>SUM(G124:G126)</f>
        <v>0</v>
      </c>
      <c r="H123" s="17">
        <f>SUM(H124:H126)</f>
        <v>0</v>
      </c>
    </row>
    <row r="124" spans="1:8" x14ac:dyDescent="0.2">
      <c r="A124" s="29"/>
      <c r="B124" s="29"/>
      <c r="C124" s="30" t="s">
        <v>162</v>
      </c>
      <c r="D124" s="33">
        <f>+E124+F124+G124+H124</f>
        <v>125000</v>
      </c>
      <c r="E124" s="33">
        <v>125000</v>
      </c>
      <c r="F124" s="127"/>
      <c r="G124" s="33"/>
      <c r="H124" s="33"/>
    </row>
    <row r="125" spans="1:8" x14ac:dyDescent="0.2">
      <c r="A125" s="29"/>
      <c r="B125" s="29"/>
      <c r="C125" s="30" t="s">
        <v>191</v>
      </c>
      <c r="D125" s="33">
        <f t="shared" ref="D125:D126" si="33">+E125+F125+G125+H125</f>
        <v>55200</v>
      </c>
      <c r="E125" s="33">
        <v>55200</v>
      </c>
      <c r="F125" s="127"/>
      <c r="G125" s="33"/>
      <c r="H125" s="33"/>
    </row>
    <row r="126" spans="1:8" x14ac:dyDescent="0.2">
      <c r="A126" s="31"/>
      <c r="B126" s="31"/>
      <c r="C126" s="30" t="s">
        <v>192</v>
      </c>
      <c r="D126" s="33">
        <f t="shared" si="33"/>
        <v>54000</v>
      </c>
      <c r="E126" s="33">
        <v>54000</v>
      </c>
      <c r="F126" s="127"/>
      <c r="G126" s="33"/>
      <c r="H126" s="33"/>
    </row>
    <row r="127" spans="1:8" x14ac:dyDescent="0.2">
      <c r="A127" s="29"/>
      <c r="B127" s="15"/>
      <c r="C127" s="16" t="s">
        <v>157</v>
      </c>
      <c r="D127" s="17">
        <f>SUM(D128:D132)</f>
        <v>1309305.5</v>
      </c>
      <c r="E127" s="17">
        <f>SUM(E128:E132)</f>
        <v>1309305.5</v>
      </c>
      <c r="F127" s="125">
        <f t="shared" ref="F127:H127" si="34">SUM(F128:F132)</f>
        <v>0</v>
      </c>
      <c r="G127" s="17">
        <f t="shared" si="34"/>
        <v>0</v>
      </c>
      <c r="H127" s="17">
        <f t="shared" si="34"/>
        <v>0</v>
      </c>
    </row>
    <row r="128" spans="1:8" x14ac:dyDescent="0.2">
      <c r="A128" s="29"/>
      <c r="B128" s="15"/>
      <c r="C128" s="30" t="s">
        <v>193</v>
      </c>
      <c r="D128" s="33">
        <f>+E128+F128+G128+H128</f>
        <v>55200</v>
      </c>
      <c r="E128" s="33">
        <v>55200</v>
      </c>
      <c r="F128" s="127"/>
      <c r="G128" s="33"/>
      <c r="H128" s="33"/>
    </row>
    <row r="129" spans="1:12" x14ac:dyDescent="0.2">
      <c r="A129" s="29"/>
      <c r="B129" s="15"/>
      <c r="C129" s="30" t="s">
        <v>194</v>
      </c>
      <c r="D129" s="33">
        <f t="shared" ref="D129:D132" si="35">+E129+F129+G129+H129</f>
        <v>157000</v>
      </c>
      <c r="E129" s="33">
        <v>157000</v>
      </c>
      <c r="F129" s="127"/>
      <c r="G129" s="33"/>
      <c r="H129" s="33"/>
    </row>
    <row r="130" spans="1:12" x14ac:dyDescent="0.2">
      <c r="A130" s="29"/>
      <c r="B130" s="15"/>
      <c r="C130" s="30" t="s">
        <v>195</v>
      </c>
      <c r="D130" s="33">
        <f t="shared" si="35"/>
        <v>55200</v>
      </c>
      <c r="E130" s="33">
        <v>55200</v>
      </c>
      <c r="F130" s="127"/>
      <c r="G130" s="33"/>
      <c r="H130" s="33"/>
    </row>
    <row r="131" spans="1:12" x14ac:dyDescent="0.2">
      <c r="A131" s="29"/>
      <c r="B131" s="15"/>
      <c r="C131" s="30" t="s">
        <v>196</v>
      </c>
      <c r="D131" s="33">
        <f t="shared" si="35"/>
        <v>438000</v>
      </c>
      <c r="E131" s="33">
        <v>438000</v>
      </c>
      <c r="F131" s="127"/>
      <c r="G131" s="33"/>
      <c r="H131" s="33"/>
    </row>
    <row r="132" spans="1:12" x14ac:dyDescent="0.2">
      <c r="A132" s="31"/>
      <c r="B132" s="31"/>
      <c r="C132" s="112" t="s">
        <v>197</v>
      </c>
      <c r="D132" s="33">
        <f t="shared" si="35"/>
        <v>603905.5</v>
      </c>
      <c r="E132" s="33">
        <v>603905.5</v>
      </c>
      <c r="F132" s="127"/>
      <c r="G132" s="33"/>
      <c r="H132" s="33"/>
    </row>
    <row r="133" spans="1:12" x14ac:dyDescent="0.2">
      <c r="A133" s="29"/>
      <c r="B133" s="15"/>
      <c r="C133" s="16" t="s">
        <v>159</v>
      </c>
      <c r="D133" s="17">
        <f>SUM(D134:D139)</f>
        <v>1772882.2</v>
      </c>
      <c r="E133" s="17">
        <f t="shared" ref="E133:H133" si="36">SUM(E134:E139)</f>
        <v>817882.2</v>
      </c>
      <c r="F133" s="125">
        <f t="shared" si="36"/>
        <v>955000</v>
      </c>
      <c r="G133" s="17">
        <f t="shared" si="36"/>
        <v>0</v>
      </c>
      <c r="H133" s="17">
        <f t="shared" si="36"/>
        <v>0</v>
      </c>
    </row>
    <row r="134" spans="1:12" x14ac:dyDescent="0.2">
      <c r="A134" s="29"/>
      <c r="B134" s="15"/>
      <c r="C134" s="30" t="s">
        <v>198</v>
      </c>
      <c r="D134" s="33">
        <f>+E134+F134+G134+H134</f>
        <v>55200</v>
      </c>
      <c r="E134" s="33">
        <v>55200</v>
      </c>
      <c r="F134" s="127"/>
      <c r="G134" s="33"/>
      <c r="H134" s="33"/>
    </row>
    <row r="135" spans="1:12" x14ac:dyDescent="0.2">
      <c r="A135" s="29"/>
      <c r="B135" s="15"/>
      <c r="C135" s="30" t="s">
        <v>199</v>
      </c>
      <c r="D135" s="33">
        <f t="shared" ref="D135:D136" si="37">+E135+F135+G135+H135</f>
        <v>55200</v>
      </c>
      <c r="E135" s="33">
        <v>55200</v>
      </c>
      <c r="F135" s="127"/>
      <c r="G135" s="33"/>
      <c r="H135" s="33"/>
    </row>
    <row r="136" spans="1:12" x14ac:dyDescent="0.2">
      <c r="A136" s="29"/>
      <c r="B136" s="15"/>
      <c r="C136" s="30" t="s">
        <v>200</v>
      </c>
      <c r="D136" s="33">
        <f t="shared" si="37"/>
        <v>55200</v>
      </c>
      <c r="E136" s="33">
        <v>55200</v>
      </c>
      <c r="F136" s="127"/>
      <c r="G136" s="33"/>
      <c r="H136" s="33"/>
    </row>
    <row r="137" spans="1:12" x14ac:dyDescent="0.2">
      <c r="A137" s="29"/>
      <c r="B137" s="15"/>
      <c r="C137" s="30" t="s">
        <v>160</v>
      </c>
      <c r="D137" s="33">
        <f>+E137+F137+G137+H137</f>
        <v>605000</v>
      </c>
      <c r="E137" s="33"/>
      <c r="F137" s="127">
        <v>605000</v>
      </c>
      <c r="G137" s="33"/>
      <c r="H137" s="33"/>
    </row>
    <row r="138" spans="1:12" x14ac:dyDescent="0.2">
      <c r="A138" s="29"/>
      <c r="B138" s="15"/>
      <c r="C138" s="112" t="s">
        <v>201</v>
      </c>
      <c r="D138" s="33">
        <f>+E138+F138+G138+H138</f>
        <v>652282.19999999995</v>
      </c>
      <c r="E138" s="33">
        <v>652282.19999999995</v>
      </c>
      <c r="F138" s="127"/>
      <c r="G138" s="33"/>
      <c r="H138" s="33"/>
      <c r="J138" s="108"/>
      <c r="L138" s="109"/>
    </row>
    <row r="139" spans="1:12" x14ac:dyDescent="0.2">
      <c r="A139" s="29"/>
      <c r="B139" s="15"/>
      <c r="C139" s="112" t="s">
        <v>202</v>
      </c>
      <c r="D139" s="33">
        <f>+E139+F139+G139+H139</f>
        <v>350000</v>
      </c>
      <c r="E139" s="33"/>
      <c r="F139" s="127">
        <v>350000</v>
      </c>
      <c r="G139" s="33"/>
      <c r="H139" s="33"/>
    </row>
    <row r="140" spans="1:12" x14ac:dyDescent="0.2">
      <c r="A140" s="29"/>
      <c r="B140" s="15"/>
      <c r="C140" s="16" t="s">
        <v>561</v>
      </c>
      <c r="D140" s="17">
        <f>+E140+F140+G140+H140</f>
        <v>307000</v>
      </c>
      <c r="E140" s="32">
        <f>+E141</f>
        <v>307000</v>
      </c>
      <c r="F140" s="127"/>
      <c r="G140" s="33"/>
      <c r="H140" s="33"/>
      <c r="J140" s="110"/>
      <c r="L140" s="111"/>
    </row>
    <row r="141" spans="1:12" x14ac:dyDescent="0.2">
      <c r="A141" s="31"/>
      <c r="B141" s="31"/>
      <c r="C141" s="30" t="s">
        <v>562</v>
      </c>
      <c r="D141" s="33">
        <f>+E141+F141+G141+H141</f>
        <v>307000</v>
      </c>
      <c r="E141" s="33">
        <v>307000</v>
      </c>
      <c r="F141" s="127"/>
      <c r="G141" s="33"/>
      <c r="H141" s="33"/>
    </row>
    <row r="142" spans="1:12" x14ac:dyDescent="0.2">
      <c r="A142" s="29"/>
      <c r="B142" s="29"/>
      <c r="C142" s="16" t="s">
        <v>203</v>
      </c>
      <c r="D142" s="17">
        <f>SUM(D143:D145)</f>
        <v>191400</v>
      </c>
      <c r="E142" s="17">
        <f>SUM(E143:E145)</f>
        <v>191400</v>
      </c>
      <c r="F142" s="125">
        <f>SUM(F143:F145)</f>
        <v>0</v>
      </c>
      <c r="G142" s="17">
        <f>SUM(G143:G145)</f>
        <v>0</v>
      </c>
      <c r="H142" s="17">
        <f>SUM(H143:H145)</f>
        <v>0</v>
      </c>
    </row>
    <row r="143" spans="1:12" x14ac:dyDescent="0.2">
      <c r="A143" s="29"/>
      <c r="B143" s="29"/>
      <c r="C143" s="30" t="s">
        <v>204</v>
      </c>
      <c r="D143" s="33">
        <f>+E143+F143+G143+H143</f>
        <v>55200</v>
      </c>
      <c r="E143" s="33">
        <v>55200</v>
      </c>
      <c r="F143" s="127"/>
      <c r="G143" s="33"/>
      <c r="H143" s="33"/>
    </row>
    <row r="144" spans="1:12" x14ac:dyDescent="0.2">
      <c r="A144" s="29"/>
      <c r="B144" s="29"/>
      <c r="C144" s="30" t="s">
        <v>205</v>
      </c>
      <c r="D144" s="33">
        <f t="shared" ref="D144:D145" si="38">+E144+F144+G144+H144</f>
        <v>81000</v>
      </c>
      <c r="E144" s="33">
        <v>81000</v>
      </c>
      <c r="F144" s="127"/>
      <c r="G144" s="33"/>
      <c r="H144" s="33"/>
      <c r="J144" s="110"/>
    </row>
    <row r="145" spans="1:14" x14ac:dyDescent="0.2">
      <c r="A145" s="29"/>
      <c r="B145" s="29"/>
      <c r="C145" s="30" t="s">
        <v>206</v>
      </c>
      <c r="D145" s="33">
        <f t="shared" si="38"/>
        <v>55200</v>
      </c>
      <c r="E145" s="33">
        <v>55200</v>
      </c>
      <c r="F145" s="127"/>
      <c r="G145" s="33"/>
      <c r="H145" s="33"/>
      <c r="J145" s="110"/>
    </row>
    <row r="146" spans="1:14" ht="14.25" x14ac:dyDescent="0.25">
      <c r="A146" s="5"/>
      <c r="B146" s="5"/>
      <c r="C146" s="3" t="s">
        <v>54</v>
      </c>
      <c r="D146" s="6">
        <f>+D148+D151+D152+D153</f>
        <v>1273989.5</v>
      </c>
      <c r="E146" s="6">
        <f t="shared" ref="E146:H146" si="39">+E148+E151+E152+E153</f>
        <v>0</v>
      </c>
      <c r="F146" s="6">
        <f t="shared" si="39"/>
        <v>150000</v>
      </c>
      <c r="G146" s="6">
        <f t="shared" si="39"/>
        <v>0</v>
      </c>
      <c r="H146" s="6">
        <f t="shared" si="39"/>
        <v>1123989.5</v>
      </c>
      <c r="J146" s="110"/>
      <c r="K146" s="110"/>
      <c r="L146" s="110"/>
      <c r="M146" s="110"/>
      <c r="N146" s="110"/>
    </row>
    <row r="147" spans="1:14" x14ac:dyDescent="0.25">
      <c r="A147" s="5"/>
      <c r="B147" s="5"/>
      <c r="C147" s="7" t="s">
        <v>14</v>
      </c>
      <c r="D147" s="8"/>
      <c r="E147" s="8"/>
      <c r="F147" s="122"/>
      <c r="G147" s="8"/>
      <c r="H147" s="8"/>
    </row>
    <row r="148" spans="1:14" ht="21.75" customHeight="1" x14ac:dyDescent="0.25">
      <c r="A148" s="7" t="s">
        <v>55</v>
      </c>
      <c r="B148" s="7" t="s">
        <v>16</v>
      </c>
      <c r="C148" s="8" t="s">
        <v>559</v>
      </c>
      <c r="D148" s="9">
        <f>SUM(E148:H148)</f>
        <v>150000</v>
      </c>
      <c r="E148" s="9">
        <v>0</v>
      </c>
      <c r="F148" s="9">
        <f>+F150</f>
        <v>150000</v>
      </c>
      <c r="G148" s="9">
        <v>0</v>
      </c>
      <c r="H148" s="9">
        <v>0</v>
      </c>
    </row>
    <row r="149" spans="1:14" ht="15" customHeight="1" x14ac:dyDescent="0.25">
      <c r="A149" s="7"/>
      <c r="B149" s="7"/>
      <c r="C149" s="42" t="s">
        <v>5</v>
      </c>
      <c r="D149" s="9">
        <f t="shared" ref="D149" si="40">SUM(E149:H149)</f>
        <v>0</v>
      </c>
      <c r="E149" s="9"/>
      <c r="F149" s="9"/>
      <c r="G149" s="9"/>
      <c r="H149" s="9"/>
    </row>
    <row r="150" spans="1:14" ht="31.5" customHeight="1" x14ac:dyDescent="0.25">
      <c r="A150" s="7"/>
      <c r="B150" s="7"/>
      <c r="C150" s="30" t="s">
        <v>560</v>
      </c>
      <c r="D150" s="9">
        <f>SUM(E150:H150)</f>
        <v>150000</v>
      </c>
      <c r="E150" s="9"/>
      <c r="F150" s="9">
        <v>150000</v>
      </c>
      <c r="G150" s="9"/>
      <c r="H150" s="9"/>
    </row>
    <row r="151" spans="1:14" ht="36" customHeight="1" x14ac:dyDescent="0.25">
      <c r="A151" s="7" t="s">
        <v>56</v>
      </c>
      <c r="B151" s="7" t="s">
        <v>57</v>
      </c>
      <c r="C151" s="8" t="s">
        <v>58</v>
      </c>
      <c r="D151" s="9">
        <f>SUM(E151:H151)</f>
        <v>274789.5</v>
      </c>
      <c r="E151" s="9">
        <v>0</v>
      </c>
      <c r="F151" s="9">
        <v>0</v>
      </c>
      <c r="G151" s="9">
        <v>0</v>
      </c>
      <c r="H151" s="9">
        <v>274789.5</v>
      </c>
    </row>
    <row r="152" spans="1:14" ht="36" customHeight="1" x14ac:dyDescent="0.25">
      <c r="A152" s="7" t="s">
        <v>56</v>
      </c>
      <c r="B152" s="7">
        <v>31002</v>
      </c>
      <c r="C152" s="8" t="s">
        <v>565</v>
      </c>
      <c r="D152" s="9">
        <f>SUM(E152:H152)</f>
        <v>59000</v>
      </c>
      <c r="E152" s="9">
        <v>0</v>
      </c>
      <c r="F152" s="9">
        <v>0</v>
      </c>
      <c r="G152" s="9">
        <v>0</v>
      </c>
      <c r="H152" s="9">
        <v>59000</v>
      </c>
    </row>
    <row r="153" spans="1:14" ht="36" customHeight="1" x14ac:dyDescent="0.25">
      <c r="A153" s="7" t="s">
        <v>56</v>
      </c>
      <c r="B153" s="7">
        <v>31006</v>
      </c>
      <c r="C153" s="8" t="s">
        <v>566</v>
      </c>
      <c r="D153" s="9">
        <f>SUM(E153:H153)</f>
        <v>790200</v>
      </c>
      <c r="E153" s="9">
        <v>0</v>
      </c>
      <c r="F153" s="9">
        <v>0</v>
      </c>
      <c r="G153" s="9">
        <v>0</v>
      </c>
      <c r="H153" s="9">
        <v>790200</v>
      </c>
    </row>
    <row r="154" spans="1:14" ht="14.25" x14ac:dyDescent="0.25">
      <c r="A154" s="5"/>
      <c r="B154" s="5"/>
      <c r="C154" s="3" t="s">
        <v>59</v>
      </c>
      <c r="D154" s="6">
        <f>+D156+D157</f>
        <v>841550</v>
      </c>
      <c r="E154" s="6">
        <f t="shared" ref="E154:H154" si="41">+E156+E157</f>
        <v>270000</v>
      </c>
      <c r="F154" s="6">
        <f t="shared" si="41"/>
        <v>60000</v>
      </c>
      <c r="G154" s="6">
        <f t="shared" si="41"/>
        <v>11550</v>
      </c>
      <c r="H154" s="6">
        <f t="shared" si="41"/>
        <v>500000</v>
      </c>
    </row>
    <row r="155" spans="1:14" x14ac:dyDescent="0.25">
      <c r="A155" s="5"/>
      <c r="B155" s="5"/>
      <c r="C155" s="7" t="s">
        <v>14</v>
      </c>
      <c r="D155" s="8"/>
      <c r="E155" s="8"/>
      <c r="F155" s="122"/>
      <c r="G155" s="8"/>
      <c r="H155" s="8"/>
    </row>
    <row r="156" spans="1:14" x14ac:dyDescent="0.25">
      <c r="A156" s="7" t="s">
        <v>60</v>
      </c>
      <c r="B156" s="7" t="s">
        <v>47</v>
      </c>
      <c r="C156" s="8" t="s">
        <v>61</v>
      </c>
      <c r="D156" s="9">
        <v>500000</v>
      </c>
      <c r="E156" s="9">
        <v>0</v>
      </c>
      <c r="F156" s="9">
        <v>0</v>
      </c>
      <c r="G156" s="9">
        <v>0</v>
      </c>
      <c r="H156" s="9">
        <v>500000</v>
      </c>
    </row>
    <row r="157" spans="1:14" x14ac:dyDescent="0.25">
      <c r="A157" s="7">
        <v>1173</v>
      </c>
      <c r="B157" s="7">
        <v>31003</v>
      </c>
      <c r="C157" s="8" t="s">
        <v>571</v>
      </c>
      <c r="D157" s="9">
        <f>+E157+F157+G157+H157</f>
        <v>341550</v>
      </c>
      <c r="E157" s="9">
        <v>270000</v>
      </c>
      <c r="F157" s="9">
        <v>60000</v>
      </c>
      <c r="G157" s="9">
        <v>11550</v>
      </c>
      <c r="H157" s="9"/>
    </row>
    <row r="158" spans="1:14" ht="14.25" x14ac:dyDescent="0.25">
      <c r="A158" s="5"/>
      <c r="B158" s="5"/>
      <c r="C158" s="3" t="s">
        <v>62</v>
      </c>
      <c r="D158" s="38">
        <f>+E158+F158+G158+H158</f>
        <v>156108836</v>
      </c>
      <c r="E158" s="6">
        <f>E160+E161+E162+E175+E176+E194+E243+E247+E255+E259+E260+E266+E284+E290+E294+E300+E304+E310+E314+E319+E327+E328+E329+E330+E354+E359+E455+E536+E607+E608</f>
        <v>88955882.700000003</v>
      </c>
      <c r="F158" s="6">
        <f t="shared" ref="F158:H158" si="42">F160+F161+F162+F175+F176+F194+F243+F247+F255+F259+F260+F266+F284+F290+F294+F300+F304+F310+F314+F319+F327+F328+F329+F330+F354+F359+F455+F536+F607+F608</f>
        <v>45558204.5</v>
      </c>
      <c r="G158" s="6">
        <f t="shared" si="42"/>
        <v>5166817.4000000004</v>
      </c>
      <c r="H158" s="6">
        <f t="shared" si="42"/>
        <v>16427931.399999999</v>
      </c>
    </row>
    <row r="159" spans="1:14" x14ac:dyDescent="0.25">
      <c r="A159" s="5"/>
      <c r="B159" s="5"/>
      <c r="C159" s="7" t="s">
        <v>14</v>
      </c>
      <c r="D159" s="8"/>
      <c r="E159" s="8"/>
      <c r="F159" s="122"/>
      <c r="G159" s="8"/>
      <c r="H159" s="8"/>
    </row>
    <row r="160" spans="1:14" s="39" customFormat="1" ht="28.5" x14ac:dyDescent="0.2">
      <c r="A160" s="36">
        <v>1041</v>
      </c>
      <c r="B160" s="36">
        <v>21001</v>
      </c>
      <c r="C160" s="37" t="s">
        <v>233</v>
      </c>
      <c r="D160" s="38">
        <f>+E160+F160+G160+H160</f>
        <v>1250217.8999999999</v>
      </c>
      <c r="E160" s="38">
        <v>0</v>
      </c>
      <c r="F160" s="128">
        <v>0</v>
      </c>
      <c r="G160" s="38">
        <v>0</v>
      </c>
      <c r="H160" s="106">
        <v>1250217.8999999999</v>
      </c>
    </row>
    <row r="161" spans="1:8" s="39" customFormat="1" ht="42.75" x14ac:dyDescent="0.2">
      <c r="A161" s="36">
        <v>1041</v>
      </c>
      <c r="B161" s="36">
        <v>32001</v>
      </c>
      <c r="C161" s="37" t="s">
        <v>234</v>
      </c>
      <c r="D161" s="38">
        <f>+E161+F161+G161+H161</f>
        <v>250000</v>
      </c>
      <c r="E161" s="38">
        <v>0</v>
      </c>
      <c r="F161" s="128">
        <v>0</v>
      </c>
      <c r="G161" s="38">
        <v>0</v>
      </c>
      <c r="H161" s="38">
        <v>250000</v>
      </c>
    </row>
    <row r="162" spans="1:8" s="39" customFormat="1" ht="28.5" x14ac:dyDescent="0.2">
      <c r="A162" s="36">
        <v>1045</v>
      </c>
      <c r="B162" s="36">
        <v>32001</v>
      </c>
      <c r="C162" s="40" t="s">
        <v>235</v>
      </c>
      <c r="D162" s="38">
        <f>+E162+F162+G162+H162</f>
        <v>1039767.5</v>
      </c>
      <c r="E162" s="38">
        <f t="shared" ref="E162:H162" si="43">+E164+E166+E168+E170+E173</f>
        <v>0</v>
      </c>
      <c r="F162" s="128">
        <f t="shared" si="43"/>
        <v>1039767.5</v>
      </c>
      <c r="G162" s="38">
        <f t="shared" si="43"/>
        <v>0</v>
      </c>
      <c r="H162" s="38">
        <f t="shared" si="43"/>
        <v>0</v>
      </c>
    </row>
    <row r="163" spans="1:8" s="39" customFormat="1" ht="20.45" customHeight="1" x14ac:dyDescent="0.25">
      <c r="A163" s="41"/>
      <c r="B163" s="41"/>
      <c r="C163" s="42" t="s">
        <v>5</v>
      </c>
      <c r="D163" s="43"/>
      <c r="E163" s="43"/>
      <c r="F163" s="129"/>
      <c r="G163" s="41"/>
      <c r="H163" s="41"/>
    </row>
    <row r="164" spans="1:8" s="39" customFormat="1" ht="14.25" x14ac:dyDescent="0.25">
      <c r="A164" s="41"/>
      <c r="B164" s="41"/>
      <c r="C164" s="44" t="s">
        <v>165</v>
      </c>
      <c r="D164" s="45">
        <f>SUM(E164:H164)</f>
        <v>120000</v>
      </c>
      <c r="E164" s="45">
        <f>+E165</f>
        <v>0</v>
      </c>
      <c r="F164" s="130">
        <f t="shared" ref="F164:H164" si="44">+F165</f>
        <v>120000</v>
      </c>
      <c r="G164" s="45">
        <f t="shared" si="44"/>
        <v>0</v>
      </c>
      <c r="H164" s="45">
        <f t="shared" si="44"/>
        <v>0</v>
      </c>
    </row>
    <row r="165" spans="1:8" s="39" customFormat="1" x14ac:dyDescent="0.25">
      <c r="A165" s="46"/>
      <c r="B165" s="46"/>
      <c r="C165" s="47" t="s">
        <v>236</v>
      </c>
      <c r="D165" s="48">
        <f t="shared" ref="D165" si="45">+E165+F165+G165+H165</f>
        <v>120000</v>
      </c>
      <c r="E165" s="48"/>
      <c r="F165" s="131">
        <v>120000</v>
      </c>
      <c r="G165" s="48"/>
      <c r="H165" s="49"/>
    </row>
    <row r="166" spans="1:8" s="39" customFormat="1" ht="14.25" x14ac:dyDescent="0.25">
      <c r="A166" s="41"/>
      <c r="B166" s="41"/>
      <c r="C166" s="44" t="s">
        <v>149</v>
      </c>
      <c r="D166" s="45">
        <f>SUM(E166:H166)</f>
        <v>155400</v>
      </c>
      <c r="E166" s="45">
        <f>+E167</f>
        <v>0</v>
      </c>
      <c r="F166" s="130">
        <f>+F167</f>
        <v>155400</v>
      </c>
      <c r="G166" s="45">
        <f t="shared" ref="G166:H166" si="46">+G167</f>
        <v>0</v>
      </c>
      <c r="H166" s="45">
        <f t="shared" si="46"/>
        <v>0</v>
      </c>
    </row>
    <row r="167" spans="1:8" s="39" customFormat="1" x14ac:dyDescent="0.25">
      <c r="A167" s="41"/>
      <c r="B167" s="41"/>
      <c r="C167" s="47" t="s">
        <v>237</v>
      </c>
      <c r="D167" s="48">
        <f>+E167+F167+G167+H167</f>
        <v>155400</v>
      </c>
      <c r="E167" s="48"/>
      <c r="F167" s="131">
        <v>155400</v>
      </c>
      <c r="G167" s="48"/>
      <c r="H167" s="50"/>
    </row>
    <row r="168" spans="1:8" s="39" customFormat="1" ht="14.25" x14ac:dyDescent="0.25">
      <c r="A168" s="41"/>
      <c r="B168" s="41"/>
      <c r="C168" s="44" t="s">
        <v>185</v>
      </c>
      <c r="D168" s="45">
        <f>SUM(E168:H168)</f>
        <v>225430.5</v>
      </c>
      <c r="E168" s="45">
        <f>+E169</f>
        <v>0</v>
      </c>
      <c r="F168" s="130">
        <f t="shared" ref="F168:H168" si="47">+F169</f>
        <v>225430.5</v>
      </c>
      <c r="G168" s="45">
        <f t="shared" si="47"/>
        <v>0</v>
      </c>
      <c r="H168" s="45">
        <f t="shared" si="47"/>
        <v>0</v>
      </c>
    </row>
    <row r="169" spans="1:8" s="39" customFormat="1" x14ac:dyDescent="0.25">
      <c r="A169" s="41"/>
      <c r="B169" s="41"/>
      <c r="C169" s="47" t="s">
        <v>238</v>
      </c>
      <c r="D169" s="48">
        <f>+E169+F169+G169+H169</f>
        <v>225430.5</v>
      </c>
      <c r="E169" s="48"/>
      <c r="F169" s="131">
        <f>225396.5+34</f>
        <v>225430.5</v>
      </c>
      <c r="G169" s="48"/>
      <c r="H169" s="50"/>
    </row>
    <row r="170" spans="1:8" s="39" customFormat="1" ht="14.25" x14ac:dyDescent="0.25">
      <c r="A170" s="41"/>
      <c r="B170" s="41"/>
      <c r="C170" s="44" t="s">
        <v>159</v>
      </c>
      <c r="D170" s="45">
        <f>SUM(E170:H170)</f>
        <v>358937</v>
      </c>
      <c r="E170" s="45">
        <f>+E171+E172</f>
        <v>0</v>
      </c>
      <c r="F170" s="130">
        <f t="shared" ref="F170:H170" si="48">+F171+F172</f>
        <v>358937</v>
      </c>
      <c r="G170" s="45">
        <f t="shared" si="48"/>
        <v>0</v>
      </c>
      <c r="H170" s="45">
        <f t="shared" si="48"/>
        <v>0</v>
      </c>
    </row>
    <row r="171" spans="1:8" s="39" customFormat="1" x14ac:dyDescent="0.2">
      <c r="A171" s="141"/>
      <c r="B171" s="141"/>
      <c r="C171" s="47" t="s">
        <v>239</v>
      </c>
      <c r="D171" s="48">
        <f>+E171+F171+G171+H171</f>
        <v>208937</v>
      </c>
      <c r="E171" s="48"/>
      <c r="F171" s="131">
        <v>208937</v>
      </c>
      <c r="G171" s="48"/>
      <c r="H171" s="49"/>
    </row>
    <row r="172" spans="1:8" s="39" customFormat="1" x14ac:dyDescent="0.2">
      <c r="A172" s="140"/>
      <c r="B172" s="140"/>
      <c r="C172" s="47" t="s">
        <v>240</v>
      </c>
      <c r="D172" s="48">
        <f>+E172+F172+G172+H172</f>
        <v>150000</v>
      </c>
      <c r="E172" s="48"/>
      <c r="F172" s="131">
        <v>150000</v>
      </c>
      <c r="G172" s="48"/>
      <c r="H172" s="49"/>
    </row>
    <row r="173" spans="1:8" s="39" customFormat="1" ht="14.25" x14ac:dyDescent="0.25">
      <c r="A173" s="41"/>
      <c r="B173" s="41"/>
      <c r="C173" s="44" t="s">
        <v>203</v>
      </c>
      <c r="D173" s="45">
        <f>SUM(E173:H173)</f>
        <v>180000</v>
      </c>
      <c r="E173" s="45">
        <f>+E174</f>
        <v>0</v>
      </c>
      <c r="F173" s="130">
        <f t="shared" ref="F173:H173" si="49">+F174</f>
        <v>180000</v>
      </c>
      <c r="G173" s="45">
        <f t="shared" si="49"/>
        <v>0</v>
      </c>
      <c r="H173" s="45">
        <f t="shared" si="49"/>
        <v>0</v>
      </c>
    </row>
    <row r="174" spans="1:8" s="39" customFormat="1" x14ac:dyDescent="0.25">
      <c r="A174" s="46"/>
      <c r="B174" s="46"/>
      <c r="C174" s="47" t="s">
        <v>241</v>
      </c>
      <c r="D174" s="48">
        <f>+E174+F174+G174+H174</f>
        <v>180000</v>
      </c>
      <c r="E174" s="48"/>
      <c r="F174" s="131">
        <v>180000</v>
      </c>
      <c r="G174" s="48"/>
      <c r="H174" s="49"/>
    </row>
    <row r="175" spans="1:8" s="39" customFormat="1" ht="28.5" x14ac:dyDescent="0.2">
      <c r="A175" s="36">
        <v>1045</v>
      </c>
      <c r="B175" s="36">
        <v>32004</v>
      </c>
      <c r="C175" s="37" t="s">
        <v>242</v>
      </c>
      <c r="D175" s="38">
        <f>+E175+F175+G175+H175</f>
        <v>252985</v>
      </c>
      <c r="E175" s="38">
        <v>0</v>
      </c>
      <c r="F175" s="128">
        <v>0</v>
      </c>
      <c r="G175" s="38">
        <v>0</v>
      </c>
      <c r="H175" s="38">
        <v>252985</v>
      </c>
    </row>
    <row r="176" spans="1:8" s="39" customFormat="1" ht="27" customHeight="1" x14ac:dyDescent="0.2">
      <c r="A176" s="36">
        <v>1045</v>
      </c>
      <c r="B176" s="36">
        <v>32005</v>
      </c>
      <c r="C176" s="37" t="s">
        <v>63</v>
      </c>
      <c r="D176" s="38">
        <f>+E176+F176+G176+H176</f>
        <v>1515715.4000000001</v>
      </c>
      <c r="E176" s="38">
        <f t="shared" ref="E176:H176" si="50">+E178+E180+E182+E184+E186+E188+E192</f>
        <v>1357490.8</v>
      </c>
      <c r="F176" s="128">
        <f t="shared" si="50"/>
        <v>0</v>
      </c>
      <c r="G176" s="38">
        <f t="shared" si="50"/>
        <v>158224.6</v>
      </c>
      <c r="H176" s="38">
        <f t="shared" si="50"/>
        <v>0</v>
      </c>
    </row>
    <row r="177" spans="1:8" s="39" customFormat="1" ht="15.75" customHeight="1" x14ac:dyDescent="0.25">
      <c r="A177" s="51"/>
      <c r="B177" s="51"/>
      <c r="C177" s="52" t="s">
        <v>5</v>
      </c>
      <c r="D177" s="43"/>
      <c r="E177" s="43"/>
      <c r="F177" s="129"/>
      <c r="G177" s="41"/>
      <c r="H177" s="41"/>
    </row>
    <row r="178" spans="1:8" s="39" customFormat="1" ht="14.25" x14ac:dyDescent="0.25">
      <c r="A178" s="41"/>
      <c r="B178" s="41"/>
      <c r="C178" s="44" t="s">
        <v>165</v>
      </c>
      <c r="D178" s="45">
        <f>SUM(E178:H178)</f>
        <v>40742.1</v>
      </c>
      <c r="E178" s="45">
        <f>+E179</f>
        <v>0</v>
      </c>
      <c r="F178" s="130">
        <f t="shared" ref="F178:H180" si="51">+F179</f>
        <v>0</v>
      </c>
      <c r="G178" s="45">
        <f t="shared" si="51"/>
        <v>40742.1</v>
      </c>
      <c r="H178" s="45">
        <f t="shared" si="51"/>
        <v>0</v>
      </c>
    </row>
    <row r="179" spans="1:8" s="39" customFormat="1" x14ac:dyDescent="0.25">
      <c r="A179" s="41"/>
      <c r="B179" s="41"/>
      <c r="C179" s="47" t="s">
        <v>243</v>
      </c>
      <c r="D179" s="48">
        <f>+E179+F179+G179+H179</f>
        <v>40742.1</v>
      </c>
      <c r="E179" s="48"/>
      <c r="F179" s="131"/>
      <c r="G179" s="48">
        <v>40742.1</v>
      </c>
      <c r="H179" s="50"/>
    </row>
    <row r="180" spans="1:8" s="39" customFormat="1" ht="14.25" x14ac:dyDescent="0.25">
      <c r="A180" s="41"/>
      <c r="B180" s="41"/>
      <c r="C180" s="44" t="s">
        <v>152</v>
      </c>
      <c r="D180" s="45">
        <f>SUM(E180:H180)</f>
        <v>70000</v>
      </c>
      <c r="E180" s="45">
        <f>+E181</f>
        <v>70000</v>
      </c>
      <c r="F180" s="130">
        <f t="shared" si="51"/>
        <v>0</v>
      </c>
      <c r="G180" s="45">
        <f t="shared" si="51"/>
        <v>0</v>
      </c>
      <c r="H180" s="45">
        <f t="shared" si="51"/>
        <v>0</v>
      </c>
    </row>
    <row r="181" spans="1:8" s="39" customFormat="1" x14ac:dyDescent="0.25">
      <c r="A181" s="41"/>
      <c r="B181" s="41"/>
      <c r="C181" s="47" t="s">
        <v>244</v>
      </c>
      <c r="D181" s="48">
        <f>+E181+F181+G181+H181</f>
        <v>70000</v>
      </c>
      <c r="E181" s="48">
        <v>70000</v>
      </c>
      <c r="F181" s="131"/>
      <c r="G181" s="48"/>
      <c r="H181" s="50"/>
    </row>
    <row r="182" spans="1:8" s="53" customFormat="1" ht="16.899999999999999" customHeight="1" x14ac:dyDescent="0.25">
      <c r="A182" s="41"/>
      <c r="B182" s="41"/>
      <c r="C182" s="44" t="s">
        <v>185</v>
      </c>
      <c r="D182" s="45">
        <f>SUM(E182:H182)</f>
        <v>530678</v>
      </c>
      <c r="E182" s="45">
        <f>+E183</f>
        <v>530678</v>
      </c>
      <c r="F182" s="130">
        <f>+F183</f>
        <v>0</v>
      </c>
      <c r="G182" s="45">
        <f>+G183</f>
        <v>0</v>
      </c>
      <c r="H182" s="45">
        <f>+H183</f>
        <v>0</v>
      </c>
    </row>
    <row r="183" spans="1:8" s="39" customFormat="1" ht="27" x14ac:dyDescent="0.25">
      <c r="A183" s="41"/>
      <c r="B183" s="41"/>
      <c r="C183" s="47" t="s">
        <v>245</v>
      </c>
      <c r="D183" s="48">
        <f>+E183+F183+G183+H183</f>
        <v>530678</v>
      </c>
      <c r="E183" s="48">
        <v>530678</v>
      </c>
      <c r="F183" s="131"/>
      <c r="G183" s="48"/>
      <c r="H183" s="49"/>
    </row>
    <row r="184" spans="1:8" s="53" customFormat="1" ht="16.899999999999999" customHeight="1" x14ac:dyDescent="0.25">
      <c r="A184" s="41"/>
      <c r="B184" s="41"/>
      <c r="C184" s="44" t="s">
        <v>157</v>
      </c>
      <c r="D184" s="45">
        <f>SUM(E184:H184)</f>
        <v>103600</v>
      </c>
      <c r="E184" s="45">
        <f>+E185</f>
        <v>103600</v>
      </c>
      <c r="F184" s="130">
        <f>+F185</f>
        <v>0</v>
      </c>
      <c r="G184" s="45">
        <f>+G185</f>
        <v>0</v>
      </c>
      <c r="H184" s="45">
        <f>+H185</f>
        <v>0</v>
      </c>
    </row>
    <row r="185" spans="1:8" s="39" customFormat="1" ht="27" x14ac:dyDescent="0.25">
      <c r="A185" s="41"/>
      <c r="B185" s="41"/>
      <c r="C185" s="47" t="s">
        <v>246</v>
      </c>
      <c r="D185" s="48">
        <f>+E185+F185+G185+H185</f>
        <v>103600</v>
      </c>
      <c r="E185" s="48">
        <v>103600</v>
      </c>
      <c r="F185" s="131"/>
      <c r="G185" s="48"/>
      <c r="H185" s="49"/>
    </row>
    <row r="186" spans="1:8" s="53" customFormat="1" ht="16.899999999999999" customHeight="1" x14ac:dyDescent="0.25">
      <c r="A186" s="41"/>
      <c r="B186" s="41"/>
      <c r="C186" s="44" t="s">
        <v>154</v>
      </c>
      <c r="D186" s="45">
        <f>SUM(E186:H186)</f>
        <v>95370</v>
      </c>
      <c r="E186" s="45">
        <f>+E187</f>
        <v>70000</v>
      </c>
      <c r="F186" s="130">
        <f>+F187</f>
        <v>0</v>
      </c>
      <c r="G186" s="45">
        <f>+G187</f>
        <v>25370</v>
      </c>
      <c r="H186" s="45">
        <f>+H187</f>
        <v>0</v>
      </c>
    </row>
    <row r="187" spans="1:8" s="39" customFormat="1" ht="27" x14ac:dyDescent="0.25">
      <c r="A187" s="41"/>
      <c r="B187" s="41"/>
      <c r="C187" s="47" t="s">
        <v>247</v>
      </c>
      <c r="D187" s="48">
        <f>+E187+F187+G187+H187</f>
        <v>95370</v>
      </c>
      <c r="E187" s="48">
        <v>70000</v>
      </c>
      <c r="F187" s="131"/>
      <c r="G187" s="48">
        <f>+ROUND(29500*0.8+29500*0.06,1)</f>
        <v>25370</v>
      </c>
      <c r="H187" s="49"/>
    </row>
    <row r="188" spans="1:8" s="53" customFormat="1" ht="16.899999999999999" customHeight="1" x14ac:dyDescent="0.25">
      <c r="A188" s="41"/>
      <c r="B188" s="41"/>
      <c r="C188" s="44" t="s">
        <v>161</v>
      </c>
      <c r="D188" s="45">
        <f>SUM(E188:H188)</f>
        <v>571725.30000000005</v>
      </c>
      <c r="E188" s="45">
        <f>SUM(E189:E191)</f>
        <v>479612.8</v>
      </c>
      <c r="F188" s="130">
        <f t="shared" ref="F188:H188" si="52">SUM(F189:F191)</f>
        <v>0</v>
      </c>
      <c r="G188" s="45">
        <f t="shared" si="52"/>
        <v>92112.5</v>
      </c>
      <c r="H188" s="45">
        <f t="shared" si="52"/>
        <v>0</v>
      </c>
    </row>
    <row r="189" spans="1:8" s="39" customFormat="1" ht="21.75" customHeight="1" x14ac:dyDescent="0.2">
      <c r="A189" s="141"/>
      <c r="B189" s="141"/>
      <c r="C189" s="47" t="s">
        <v>248</v>
      </c>
      <c r="D189" s="48">
        <f>+E189+F189+G189+H189</f>
        <v>479612.8</v>
      </c>
      <c r="E189" s="48">
        <v>479612.8</v>
      </c>
      <c r="F189" s="131"/>
      <c r="G189" s="48"/>
      <c r="H189" s="49"/>
    </row>
    <row r="190" spans="1:8" s="39" customFormat="1" x14ac:dyDescent="0.2">
      <c r="A190" s="139"/>
      <c r="B190" s="139"/>
      <c r="C190" s="47" t="s">
        <v>249</v>
      </c>
      <c r="D190" s="48">
        <f t="shared" ref="D190:D191" si="53">+E190+F190+G190+H190</f>
        <v>41869.299999999996</v>
      </c>
      <c r="E190" s="48"/>
      <c r="F190" s="131"/>
      <c r="G190" s="48">
        <f>39875.6+1993.7</f>
        <v>41869.299999999996</v>
      </c>
      <c r="H190" s="49"/>
    </row>
    <row r="191" spans="1:8" s="39" customFormat="1" x14ac:dyDescent="0.2">
      <c r="A191" s="140"/>
      <c r="B191" s="140"/>
      <c r="C191" s="47" t="s">
        <v>250</v>
      </c>
      <c r="D191" s="48">
        <f t="shared" si="53"/>
        <v>50243.199999999997</v>
      </c>
      <c r="E191" s="48"/>
      <c r="F191" s="131"/>
      <c r="G191" s="48">
        <f>47850.7+2392.5</f>
        <v>50243.199999999997</v>
      </c>
      <c r="H191" s="49"/>
    </row>
    <row r="192" spans="1:8" s="53" customFormat="1" ht="16.899999999999999" customHeight="1" x14ac:dyDescent="0.25">
      <c r="A192" s="41"/>
      <c r="B192" s="41"/>
      <c r="C192" s="44" t="s">
        <v>203</v>
      </c>
      <c r="D192" s="45">
        <f>SUM(E192:H192)</f>
        <v>103600</v>
      </c>
      <c r="E192" s="45">
        <f>+E193</f>
        <v>103600</v>
      </c>
      <c r="F192" s="130">
        <f>+F193</f>
        <v>0</v>
      </c>
      <c r="G192" s="45">
        <f>+G193</f>
        <v>0</v>
      </c>
      <c r="H192" s="45">
        <f>+H193</f>
        <v>0</v>
      </c>
    </row>
    <row r="193" spans="1:8" s="39" customFormat="1" x14ac:dyDescent="0.25">
      <c r="A193" s="41"/>
      <c r="B193" s="41"/>
      <c r="C193" s="47" t="s">
        <v>251</v>
      </c>
      <c r="D193" s="48">
        <f>+E193+F193+G193+H193</f>
        <v>103600</v>
      </c>
      <c r="E193" s="48">
        <v>103600</v>
      </c>
      <c r="F193" s="131"/>
      <c r="G193" s="48"/>
      <c r="H193" s="49"/>
    </row>
    <row r="194" spans="1:8" s="39" customFormat="1" ht="28.5" customHeight="1" x14ac:dyDescent="0.2">
      <c r="A194" s="36">
        <v>1075</v>
      </c>
      <c r="B194" s="36">
        <v>21001</v>
      </c>
      <c r="C194" s="37" t="s">
        <v>64</v>
      </c>
      <c r="D194" s="38">
        <f>SUM(E194:H194)</f>
        <v>1672556.7</v>
      </c>
      <c r="E194" s="38">
        <f>+E196+E228</f>
        <v>0</v>
      </c>
      <c r="F194" s="128">
        <f>+F196+F228</f>
        <v>1563066.7</v>
      </c>
      <c r="G194" s="38">
        <f>+G196+G228</f>
        <v>109490</v>
      </c>
      <c r="H194" s="38">
        <f>+H196+H228</f>
        <v>0</v>
      </c>
    </row>
    <row r="195" spans="1:8" s="39" customFormat="1" ht="14.25" x14ac:dyDescent="0.2">
      <c r="A195" s="36"/>
      <c r="B195" s="36"/>
      <c r="C195" s="54" t="s">
        <v>5</v>
      </c>
      <c r="D195" s="38"/>
      <c r="E195" s="38"/>
      <c r="F195" s="128"/>
      <c r="G195" s="38"/>
      <c r="H195" s="38"/>
    </row>
    <row r="196" spans="1:8" s="53" customFormat="1" ht="21" customHeight="1" x14ac:dyDescent="0.2">
      <c r="A196" s="55"/>
      <c r="B196" s="55"/>
      <c r="C196" s="55" t="s">
        <v>252</v>
      </c>
      <c r="D196" s="56">
        <f>SUM(E196:H196)</f>
        <v>1563066.7</v>
      </c>
      <c r="E196" s="56">
        <f t="shared" ref="E196:H196" si="54">+E198+E201+E205+E207+E209+E213+E215+E218+E220+E224</f>
        <v>0</v>
      </c>
      <c r="F196" s="132">
        <f t="shared" si="54"/>
        <v>1563066.7</v>
      </c>
      <c r="G196" s="56">
        <f t="shared" si="54"/>
        <v>0</v>
      </c>
      <c r="H196" s="56">
        <f t="shared" si="54"/>
        <v>0</v>
      </c>
    </row>
    <row r="197" spans="1:8" s="39" customFormat="1" ht="14.25" x14ac:dyDescent="0.2">
      <c r="A197" s="36"/>
      <c r="B197" s="36"/>
      <c r="C197" s="57" t="s">
        <v>253</v>
      </c>
      <c r="D197" s="38"/>
      <c r="E197" s="38"/>
      <c r="F197" s="128"/>
      <c r="G197" s="38"/>
      <c r="H197" s="38"/>
    </row>
    <row r="198" spans="1:8" s="53" customFormat="1" ht="14.25" x14ac:dyDescent="0.25">
      <c r="A198" s="58"/>
      <c r="B198" s="58"/>
      <c r="C198" s="44" t="s">
        <v>165</v>
      </c>
      <c r="D198" s="45">
        <f t="shared" ref="D198:D223" si="55">SUM(E198:H198)</f>
        <v>606239.69999999995</v>
      </c>
      <c r="E198" s="45">
        <f>SUM(E199:E200)</f>
        <v>0</v>
      </c>
      <c r="F198" s="130">
        <f>SUM(F199:F200)</f>
        <v>606239.69999999995</v>
      </c>
      <c r="G198" s="45">
        <f t="shared" ref="G198:H198" si="56">SUM(G199:G200)</f>
        <v>0</v>
      </c>
      <c r="H198" s="45">
        <f t="shared" si="56"/>
        <v>0</v>
      </c>
    </row>
    <row r="199" spans="1:8" s="59" customFormat="1" ht="34.5" customHeight="1" x14ac:dyDescent="0.25">
      <c r="A199" s="153"/>
      <c r="B199" s="153"/>
      <c r="C199" s="47" t="s">
        <v>254</v>
      </c>
      <c r="D199" s="48">
        <f t="shared" si="55"/>
        <v>352522.2</v>
      </c>
      <c r="E199" s="48"/>
      <c r="F199" s="131">
        <v>352522.2</v>
      </c>
      <c r="G199" s="48"/>
      <c r="H199" s="48"/>
    </row>
    <row r="200" spans="1:8" s="59" customFormat="1" ht="21.75" customHeight="1" x14ac:dyDescent="0.25">
      <c r="A200" s="155"/>
      <c r="B200" s="155"/>
      <c r="C200" s="47" t="s">
        <v>255</v>
      </c>
      <c r="D200" s="48">
        <f t="shared" ref="D200" si="57">SUM(E200:H200)</f>
        <v>253717.5</v>
      </c>
      <c r="E200" s="48"/>
      <c r="F200" s="131">
        <v>253717.5</v>
      </c>
      <c r="G200" s="48"/>
      <c r="H200" s="48"/>
    </row>
    <row r="201" spans="1:8" s="53" customFormat="1" ht="14.25" x14ac:dyDescent="0.25">
      <c r="A201" s="58"/>
      <c r="B201" s="58"/>
      <c r="C201" s="44" t="s">
        <v>256</v>
      </c>
      <c r="D201" s="45">
        <f t="shared" si="55"/>
        <v>185717.1</v>
      </c>
      <c r="E201" s="45">
        <f>SUM(E202:E204)</f>
        <v>0</v>
      </c>
      <c r="F201" s="130">
        <f>SUM(F202:F204)</f>
        <v>185717.1</v>
      </c>
      <c r="G201" s="45">
        <f t="shared" ref="G201:H201" si="58">SUM(G202:G204)</f>
        <v>0</v>
      </c>
      <c r="H201" s="45">
        <f t="shared" si="58"/>
        <v>0</v>
      </c>
    </row>
    <row r="202" spans="1:8" s="59" customFormat="1" ht="35.25" customHeight="1" x14ac:dyDescent="0.25">
      <c r="A202" s="160"/>
      <c r="B202" s="160"/>
      <c r="C202" s="47" t="s">
        <v>257</v>
      </c>
      <c r="D202" s="48">
        <f t="shared" si="55"/>
        <v>33640.300000000003</v>
      </c>
      <c r="E202" s="48"/>
      <c r="F202" s="131">
        <v>33640.300000000003</v>
      </c>
      <c r="G202" s="48"/>
      <c r="H202" s="48"/>
    </row>
    <row r="203" spans="1:8" s="59" customFormat="1" ht="33" customHeight="1" x14ac:dyDescent="0.25">
      <c r="A203" s="161"/>
      <c r="B203" s="161"/>
      <c r="C203" s="47" t="s">
        <v>258</v>
      </c>
      <c r="D203" s="48">
        <f t="shared" ref="D203:D208" si="59">SUM(E203:H203)</f>
        <v>100426.8</v>
      </c>
      <c r="E203" s="48"/>
      <c r="F203" s="131">
        <v>100426.8</v>
      </c>
      <c r="G203" s="48"/>
      <c r="H203" s="48"/>
    </row>
    <row r="204" spans="1:8" s="59" customFormat="1" ht="27" x14ac:dyDescent="0.25">
      <c r="A204" s="161"/>
      <c r="B204" s="161"/>
      <c r="C204" s="47" t="s">
        <v>259</v>
      </c>
      <c r="D204" s="48">
        <f t="shared" si="59"/>
        <v>51650</v>
      </c>
      <c r="E204" s="48"/>
      <c r="F204" s="131">
        <v>51650</v>
      </c>
      <c r="G204" s="48"/>
      <c r="H204" s="48"/>
    </row>
    <row r="205" spans="1:8" s="53" customFormat="1" ht="14.25" x14ac:dyDescent="0.25">
      <c r="A205" s="58"/>
      <c r="B205" s="58"/>
      <c r="C205" s="44" t="s">
        <v>149</v>
      </c>
      <c r="D205" s="45">
        <f t="shared" si="59"/>
        <v>20660</v>
      </c>
      <c r="E205" s="45">
        <f>+E206</f>
        <v>0</v>
      </c>
      <c r="F205" s="130">
        <f t="shared" ref="F205:H205" si="60">+F206</f>
        <v>20660</v>
      </c>
      <c r="G205" s="45">
        <f t="shared" si="60"/>
        <v>0</v>
      </c>
      <c r="H205" s="45">
        <f t="shared" si="60"/>
        <v>0</v>
      </c>
    </row>
    <row r="206" spans="1:8" s="59" customFormat="1" ht="27" x14ac:dyDescent="0.25">
      <c r="A206" s="60"/>
      <c r="B206" s="60"/>
      <c r="C206" s="47" t="s">
        <v>260</v>
      </c>
      <c r="D206" s="48">
        <f t="shared" si="59"/>
        <v>20660</v>
      </c>
      <c r="E206" s="48"/>
      <c r="F206" s="131">
        <v>20660</v>
      </c>
      <c r="G206" s="48"/>
      <c r="H206" s="48"/>
    </row>
    <row r="207" spans="1:8" s="53" customFormat="1" ht="14.25" x14ac:dyDescent="0.25">
      <c r="A207" s="58"/>
      <c r="B207" s="58"/>
      <c r="C207" s="44" t="s">
        <v>185</v>
      </c>
      <c r="D207" s="45">
        <f t="shared" si="59"/>
        <v>41320</v>
      </c>
      <c r="E207" s="45">
        <f>+E208</f>
        <v>0</v>
      </c>
      <c r="F207" s="130">
        <f t="shared" ref="F207:H207" si="61">+F208</f>
        <v>41320</v>
      </c>
      <c r="G207" s="45">
        <f t="shared" si="61"/>
        <v>0</v>
      </c>
      <c r="H207" s="45">
        <f t="shared" si="61"/>
        <v>0</v>
      </c>
    </row>
    <row r="208" spans="1:8" s="59" customFormat="1" ht="14.25" x14ac:dyDescent="0.25">
      <c r="A208" s="58"/>
      <c r="B208" s="58"/>
      <c r="C208" s="47" t="s">
        <v>261</v>
      </c>
      <c r="D208" s="48">
        <f t="shared" si="59"/>
        <v>41320</v>
      </c>
      <c r="E208" s="48"/>
      <c r="F208" s="131">
        <v>41320</v>
      </c>
      <c r="G208" s="48"/>
      <c r="H208" s="48"/>
    </row>
    <row r="209" spans="1:8" s="53" customFormat="1" ht="14.25" x14ac:dyDescent="0.25">
      <c r="A209" s="58"/>
      <c r="B209" s="58"/>
      <c r="C209" s="44" t="s">
        <v>157</v>
      </c>
      <c r="D209" s="45">
        <f t="shared" si="55"/>
        <v>203226.9</v>
      </c>
      <c r="E209" s="45">
        <f>SUM(E210:E212)</f>
        <v>0</v>
      </c>
      <c r="F209" s="130">
        <f>SUM(F210:F212)</f>
        <v>203226.9</v>
      </c>
      <c r="G209" s="45">
        <f t="shared" ref="G209:H209" si="62">SUM(G210:G212)</f>
        <v>0</v>
      </c>
      <c r="H209" s="45">
        <f t="shared" si="62"/>
        <v>0</v>
      </c>
    </row>
    <row r="210" spans="1:8" s="59" customFormat="1" ht="36.75" customHeight="1" x14ac:dyDescent="0.25">
      <c r="A210" s="153"/>
      <c r="B210" s="153"/>
      <c r="C210" s="47" t="s">
        <v>262</v>
      </c>
      <c r="D210" s="48">
        <f t="shared" si="55"/>
        <v>120586.9</v>
      </c>
      <c r="E210" s="48"/>
      <c r="F210" s="131">
        <v>120586.9</v>
      </c>
      <c r="G210" s="48"/>
      <c r="H210" s="48"/>
    </row>
    <row r="211" spans="1:8" s="59" customFormat="1" ht="40.5" x14ac:dyDescent="0.25">
      <c r="A211" s="154"/>
      <c r="B211" s="154"/>
      <c r="C211" s="47" t="s">
        <v>263</v>
      </c>
      <c r="D211" s="48">
        <f t="shared" si="55"/>
        <v>51650</v>
      </c>
      <c r="E211" s="48"/>
      <c r="F211" s="131">
        <v>51650</v>
      </c>
      <c r="G211" s="48"/>
      <c r="H211" s="48"/>
    </row>
    <row r="212" spans="1:8" s="59" customFormat="1" ht="27" x14ac:dyDescent="0.25">
      <c r="A212" s="155"/>
      <c r="B212" s="155"/>
      <c r="C212" s="47" t="s">
        <v>264</v>
      </c>
      <c r="D212" s="48">
        <f t="shared" ref="D212:D219" si="63">SUM(E212:H212)</f>
        <v>30990</v>
      </c>
      <c r="E212" s="48"/>
      <c r="F212" s="131">
        <v>30990</v>
      </c>
      <c r="G212" s="48"/>
      <c r="H212" s="48"/>
    </row>
    <row r="213" spans="1:8" s="53" customFormat="1" ht="14.25" x14ac:dyDescent="0.25">
      <c r="A213" s="58"/>
      <c r="B213" s="58"/>
      <c r="C213" s="44" t="s">
        <v>154</v>
      </c>
      <c r="D213" s="45">
        <f t="shared" si="63"/>
        <v>60600</v>
      </c>
      <c r="E213" s="45">
        <f>+E214</f>
        <v>0</v>
      </c>
      <c r="F213" s="130">
        <f t="shared" ref="F213:H213" si="64">+F214</f>
        <v>60600</v>
      </c>
      <c r="G213" s="45">
        <f t="shared" si="64"/>
        <v>0</v>
      </c>
      <c r="H213" s="45">
        <f t="shared" si="64"/>
        <v>0</v>
      </c>
    </row>
    <row r="214" spans="1:8" s="59" customFormat="1" ht="14.25" x14ac:dyDescent="0.25">
      <c r="A214" s="61"/>
      <c r="B214" s="61"/>
      <c r="C214" s="47" t="s">
        <v>265</v>
      </c>
      <c r="D214" s="48">
        <f t="shared" si="63"/>
        <v>60600</v>
      </c>
      <c r="E214" s="48"/>
      <c r="F214" s="131">
        <v>60600</v>
      </c>
      <c r="G214" s="48"/>
      <c r="H214" s="48"/>
    </row>
    <row r="215" spans="1:8" s="53" customFormat="1" ht="14.25" x14ac:dyDescent="0.25">
      <c r="A215" s="58"/>
      <c r="B215" s="58"/>
      <c r="C215" s="44" t="s">
        <v>159</v>
      </c>
      <c r="D215" s="45">
        <f t="shared" si="63"/>
        <v>61980</v>
      </c>
      <c r="E215" s="45">
        <f>SUM(E216:E217)</f>
        <v>0</v>
      </c>
      <c r="F215" s="130">
        <f t="shared" ref="F215:H215" si="65">SUM(F216:F217)</f>
        <v>61980</v>
      </c>
      <c r="G215" s="45">
        <f t="shared" si="65"/>
        <v>0</v>
      </c>
      <c r="H215" s="45">
        <f t="shared" si="65"/>
        <v>0</v>
      </c>
    </row>
    <row r="216" spans="1:8" s="59" customFormat="1" ht="41.25" customHeight="1" x14ac:dyDescent="0.25">
      <c r="A216" s="153"/>
      <c r="B216" s="153"/>
      <c r="C216" s="47" t="s">
        <v>266</v>
      </c>
      <c r="D216" s="48">
        <f t="shared" si="63"/>
        <v>41320</v>
      </c>
      <c r="E216" s="48"/>
      <c r="F216" s="131">
        <v>41320</v>
      </c>
      <c r="G216" s="48"/>
      <c r="H216" s="48"/>
    </row>
    <row r="217" spans="1:8" s="59" customFormat="1" ht="41.25" customHeight="1" x14ac:dyDescent="0.25">
      <c r="A217" s="155"/>
      <c r="B217" s="155"/>
      <c r="C217" s="47" t="s">
        <v>267</v>
      </c>
      <c r="D217" s="48">
        <f t="shared" si="63"/>
        <v>20660</v>
      </c>
      <c r="E217" s="48"/>
      <c r="F217" s="131">
        <v>20660</v>
      </c>
      <c r="G217" s="48"/>
      <c r="H217" s="48"/>
    </row>
    <row r="218" spans="1:8" s="53" customFormat="1" ht="41.25" customHeight="1" x14ac:dyDescent="0.25">
      <c r="A218" s="58"/>
      <c r="B218" s="58"/>
      <c r="C218" s="44" t="s">
        <v>161</v>
      </c>
      <c r="D218" s="45">
        <f t="shared" si="63"/>
        <v>20660</v>
      </c>
      <c r="E218" s="45">
        <f>+E219</f>
        <v>0</v>
      </c>
      <c r="F218" s="130">
        <f t="shared" ref="F218:H218" si="66">+F219</f>
        <v>20660</v>
      </c>
      <c r="G218" s="45">
        <f t="shared" si="66"/>
        <v>0</v>
      </c>
      <c r="H218" s="45">
        <f t="shared" si="66"/>
        <v>0</v>
      </c>
    </row>
    <row r="219" spans="1:8" s="59" customFormat="1" ht="41.25" customHeight="1" x14ac:dyDescent="0.25">
      <c r="A219" s="61"/>
      <c r="B219" s="61"/>
      <c r="C219" s="47" t="s">
        <v>268</v>
      </c>
      <c r="D219" s="48">
        <f t="shared" si="63"/>
        <v>20660</v>
      </c>
      <c r="E219" s="48"/>
      <c r="F219" s="131">
        <v>20660</v>
      </c>
      <c r="G219" s="48"/>
      <c r="H219" s="48"/>
    </row>
    <row r="220" spans="1:8" s="53" customFormat="1" ht="41.25" customHeight="1" x14ac:dyDescent="0.25">
      <c r="A220" s="58"/>
      <c r="B220" s="58"/>
      <c r="C220" s="44" t="s">
        <v>269</v>
      </c>
      <c r="D220" s="45">
        <f t="shared" si="55"/>
        <v>178935</v>
      </c>
      <c r="E220" s="45">
        <f>SUM(E221:E223)</f>
        <v>0</v>
      </c>
      <c r="F220" s="130">
        <f>SUM(F221:F223)</f>
        <v>178935</v>
      </c>
      <c r="G220" s="45">
        <f t="shared" ref="G220:H220" si="67">SUM(G221:G223)</f>
        <v>0</v>
      </c>
      <c r="H220" s="45">
        <f t="shared" si="67"/>
        <v>0</v>
      </c>
    </row>
    <row r="221" spans="1:8" s="59" customFormat="1" ht="41.25" customHeight="1" x14ac:dyDescent="0.25">
      <c r="A221" s="153"/>
      <c r="B221" s="153"/>
      <c r="C221" s="47" t="s">
        <v>270</v>
      </c>
      <c r="D221" s="48">
        <f t="shared" si="55"/>
        <v>80800</v>
      </c>
      <c r="E221" s="48"/>
      <c r="F221" s="131">
        <v>80800</v>
      </c>
      <c r="G221" s="48"/>
      <c r="H221" s="48"/>
    </row>
    <row r="222" spans="1:8" s="59" customFormat="1" ht="41.25" customHeight="1" x14ac:dyDescent="0.25">
      <c r="A222" s="154"/>
      <c r="B222" s="154"/>
      <c r="C222" s="47" t="s">
        <v>271</v>
      </c>
      <c r="D222" s="48">
        <f t="shared" ref="D222" si="68">SUM(E222:H222)</f>
        <v>15495</v>
      </c>
      <c r="E222" s="48"/>
      <c r="F222" s="131">
        <v>15495</v>
      </c>
      <c r="G222" s="48"/>
      <c r="H222" s="48"/>
    </row>
    <row r="223" spans="1:8" s="59" customFormat="1" ht="41.25" customHeight="1" x14ac:dyDescent="0.25">
      <c r="A223" s="154"/>
      <c r="B223" s="154"/>
      <c r="C223" s="47" t="s">
        <v>272</v>
      </c>
      <c r="D223" s="48">
        <f t="shared" si="55"/>
        <v>82640</v>
      </c>
      <c r="E223" s="48"/>
      <c r="F223" s="131">
        <v>82640</v>
      </c>
      <c r="G223" s="48"/>
      <c r="H223" s="48"/>
    </row>
    <row r="224" spans="1:8" s="53" customFormat="1" ht="41.25" customHeight="1" x14ac:dyDescent="0.25">
      <c r="A224" s="36"/>
      <c r="B224" s="36"/>
      <c r="C224" s="44" t="s">
        <v>203</v>
      </c>
      <c r="D224" s="45">
        <f t="shared" ref="D224:D227" si="69">SUM(E224:H224)</f>
        <v>183728</v>
      </c>
      <c r="E224" s="45">
        <f>SUM(E225:E227)</f>
        <v>0</v>
      </c>
      <c r="F224" s="130">
        <f>SUM(F225:F227)</f>
        <v>183728</v>
      </c>
      <c r="G224" s="45">
        <f t="shared" ref="G224:H224" si="70">SUM(G225:G227)</f>
        <v>0</v>
      </c>
      <c r="H224" s="45">
        <f t="shared" si="70"/>
        <v>0</v>
      </c>
    </row>
    <row r="225" spans="1:8" s="59" customFormat="1" ht="41.25" customHeight="1" x14ac:dyDescent="0.25">
      <c r="A225" s="153"/>
      <c r="B225" s="153"/>
      <c r="C225" s="47" t="s">
        <v>273</v>
      </c>
      <c r="D225" s="48">
        <f t="shared" si="69"/>
        <v>96019.9</v>
      </c>
      <c r="E225" s="48"/>
      <c r="F225" s="131">
        <v>96019.9</v>
      </c>
      <c r="G225" s="48"/>
      <c r="H225" s="48"/>
    </row>
    <row r="226" spans="1:8" s="59" customFormat="1" ht="41.25" customHeight="1" x14ac:dyDescent="0.25">
      <c r="A226" s="154"/>
      <c r="B226" s="154"/>
      <c r="C226" s="47" t="s">
        <v>274</v>
      </c>
      <c r="D226" s="48">
        <f t="shared" si="69"/>
        <v>67048.100000000006</v>
      </c>
      <c r="E226" s="48"/>
      <c r="F226" s="131">
        <v>67048.100000000006</v>
      </c>
      <c r="G226" s="48"/>
      <c r="H226" s="48"/>
    </row>
    <row r="227" spans="1:8" s="59" customFormat="1" ht="41.25" customHeight="1" x14ac:dyDescent="0.25">
      <c r="A227" s="155"/>
      <c r="B227" s="155"/>
      <c r="C227" s="47" t="s">
        <v>275</v>
      </c>
      <c r="D227" s="48">
        <f t="shared" si="69"/>
        <v>20660</v>
      </c>
      <c r="E227" s="48"/>
      <c r="F227" s="131">
        <v>20660</v>
      </c>
      <c r="G227" s="48"/>
      <c r="H227" s="48"/>
    </row>
    <row r="228" spans="1:8" s="53" customFormat="1" ht="36" customHeight="1" x14ac:dyDescent="0.2">
      <c r="A228" s="55"/>
      <c r="B228" s="55"/>
      <c r="C228" s="55" t="s">
        <v>276</v>
      </c>
      <c r="D228" s="56">
        <f>SUM(E228:H228)</f>
        <v>109490</v>
      </c>
      <c r="E228" s="56">
        <f t="shared" ref="E228:H228" si="71">+E230+E237+E239+E241</f>
        <v>0</v>
      </c>
      <c r="F228" s="132">
        <f t="shared" si="71"/>
        <v>0</v>
      </c>
      <c r="G228" s="56">
        <f t="shared" si="71"/>
        <v>109490</v>
      </c>
      <c r="H228" s="56">
        <f t="shared" si="71"/>
        <v>0</v>
      </c>
    </row>
    <row r="229" spans="1:8" s="39" customFormat="1" ht="15.75" customHeight="1" x14ac:dyDescent="0.2">
      <c r="A229" s="36"/>
      <c r="B229" s="36"/>
      <c r="C229" s="57" t="s">
        <v>253</v>
      </c>
      <c r="D229" s="38"/>
      <c r="E229" s="38"/>
      <c r="F229" s="128"/>
      <c r="G229" s="38"/>
      <c r="H229" s="38"/>
    </row>
    <row r="230" spans="1:8" s="59" customFormat="1" ht="21" customHeight="1" x14ac:dyDescent="0.25">
      <c r="A230" s="41"/>
      <c r="B230" s="41"/>
      <c r="C230" s="44" t="s">
        <v>147</v>
      </c>
      <c r="D230" s="62">
        <f t="shared" ref="D230:D231" si="72">SUM(E230:H230)</f>
        <v>79290</v>
      </c>
      <c r="E230" s="62">
        <f>SUM(E231:E236)</f>
        <v>0</v>
      </c>
      <c r="F230" s="133">
        <f t="shared" ref="F230:H230" si="73">SUM(F231:F236)</f>
        <v>0</v>
      </c>
      <c r="G230" s="62">
        <f t="shared" si="73"/>
        <v>79290</v>
      </c>
      <c r="H230" s="62">
        <f t="shared" si="73"/>
        <v>0</v>
      </c>
    </row>
    <row r="231" spans="1:8" s="59" customFormat="1" ht="27" x14ac:dyDescent="0.25">
      <c r="A231" s="141"/>
      <c r="B231" s="141"/>
      <c r="C231" s="47" t="s">
        <v>277</v>
      </c>
      <c r="D231" s="48">
        <f t="shared" si="72"/>
        <v>14040</v>
      </c>
      <c r="E231" s="48"/>
      <c r="F231" s="131"/>
      <c r="G231" s="48">
        <v>14040</v>
      </c>
      <c r="H231" s="48"/>
    </row>
    <row r="232" spans="1:8" s="59" customFormat="1" x14ac:dyDescent="0.25">
      <c r="A232" s="139"/>
      <c r="B232" s="139"/>
      <c r="C232" s="47" t="s">
        <v>278</v>
      </c>
      <c r="D232" s="48">
        <f t="shared" ref="D232:D242" si="74">SUM(E232:H232)</f>
        <v>5000</v>
      </c>
      <c r="E232" s="48"/>
      <c r="F232" s="131"/>
      <c r="G232" s="48">
        <v>5000</v>
      </c>
      <c r="H232" s="48"/>
    </row>
    <row r="233" spans="1:8" s="59" customFormat="1" ht="27" x14ac:dyDescent="0.25">
      <c r="A233" s="139"/>
      <c r="B233" s="139"/>
      <c r="C233" s="47" t="s">
        <v>279</v>
      </c>
      <c r="D233" s="48">
        <f t="shared" si="74"/>
        <v>16050</v>
      </c>
      <c r="E233" s="48"/>
      <c r="F233" s="131"/>
      <c r="G233" s="48">
        <v>16050</v>
      </c>
      <c r="H233" s="48"/>
    </row>
    <row r="234" spans="1:8" s="59" customFormat="1" ht="27" x14ac:dyDescent="0.25">
      <c r="A234" s="139"/>
      <c r="B234" s="139"/>
      <c r="C234" s="47" t="s">
        <v>280</v>
      </c>
      <c r="D234" s="48">
        <f t="shared" si="74"/>
        <v>15000</v>
      </c>
      <c r="E234" s="48"/>
      <c r="F234" s="131"/>
      <c r="G234" s="48">
        <v>15000</v>
      </c>
      <c r="H234" s="48"/>
    </row>
    <row r="235" spans="1:8" s="59" customFormat="1" ht="27" x14ac:dyDescent="0.25">
      <c r="A235" s="139"/>
      <c r="B235" s="139"/>
      <c r="C235" s="47" t="s">
        <v>281</v>
      </c>
      <c r="D235" s="48">
        <f t="shared" si="74"/>
        <v>21200</v>
      </c>
      <c r="E235" s="48"/>
      <c r="F235" s="131"/>
      <c r="G235" s="48">
        <v>21200</v>
      </c>
      <c r="H235" s="48"/>
    </row>
    <row r="236" spans="1:8" s="59" customFormat="1" x14ac:dyDescent="0.25">
      <c r="A236" s="140"/>
      <c r="B236" s="140"/>
      <c r="C236" s="47" t="s">
        <v>282</v>
      </c>
      <c r="D236" s="48">
        <f t="shared" si="74"/>
        <v>8000</v>
      </c>
      <c r="E236" s="48"/>
      <c r="F236" s="131"/>
      <c r="G236" s="48">
        <v>8000</v>
      </c>
      <c r="H236" s="48"/>
    </row>
    <row r="237" spans="1:8" s="53" customFormat="1" ht="14.25" x14ac:dyDescent="0.25">
      <c r="A237" s="41"/>
      <c r="B237" s="41"/>
      <c r="C237" s="44" t="s">
        <v>157</v>
      </c>
      <c r="D237" s="45">
        <f t="shared" si="74"/>
        <v>10800</v>
      </c>
      <c r="E237" s="45">
        <f>+E238</f>
        <v>0</v>
      </c>
      <c r="F237" s="130">
        <f t="shared" ref="F237:H237" si="75">+F238</f>
        <v>0</v>
      </c>
      <c r="G237" s="45">
        <f t="shared" si="75"/>
        <v>10800</v>
      </c>
      <c r="H237" s="45">
        <f t="shared" si="75"/>
        <v>0</v>
      </c>
    </row>
    <row r="238" spans="1:8" s="59" customFormat="1" ht="40.5" x14ac:dyDescent="0.25">
      <c r="A238" s="63"/>
      <c r="B238" s="63"/>
      <c r="C238" s="47" t="s">
        <v>283</v>
      </c>
      <c r="D238" s="48">
        <f t="shared" si="74"/>
        <v>10800</v>
      </c>
      <c r="E238" s="48"/>
      <c r="F238" s="131"/>
      <c r="G238" s="48">
        <v>10800</v>
      </c>
      <c r="H238" s="48"/>
    </row>
    <row r="239" spans="1:8" s="53" customFormat="1" ht="14.25" x14ac:dyDescent="0.25">
      <c r="A239" s="41"/>
      <c r="B239" s="41"/>
      <c r="C239" s="44" t="s">
        <v>161</v>
      </c>
      <c r="D239" s="45">
        <f t="shared" si="74"/>
        <v>4400</v>
      </c>
      <c r="E239" s="45">
        <f>+E240</f>
        <v>0</v>
      </c>
      <c r="F239" s="130">
        <f t="shared" ref="F239:H239" si="76">+F240</f>
        <v>0</v>
      </c>
      <c r="G239" s="45">
        <f t="shared" si="76"/>
        <v>4400</v>
      </c>
      <c r="H239" s="45">
        <f t="shared" si="76"/>
        <v>0</v>
      </c>
    </row>
    <row r="240" spans="1:8" s="59" customFormat="1" ht="29.25" customHeight="1" x14ac:dyDescent="0.25">
      <c r="A240" s="46"/>
      <c r="B240" s="46"/>
      <c r="C240" s="47" t="s">
        <v>284</v>
      </c>
      <c r="D240" s="48">
        <f t="shared" si="74"/>
        <v>4400</v>
      </c>
      <c r="E240" s="48"/>
      <c r="F240" s="131"/>
      <c r="G240" s="48">
        <v>4400</v>
      </c>
      <c r="H240" s="48"/>
    </row>
    <row r="241" spans="1:8" s="59" customFormat="1" ht="21" customHeight="1" x14ac:dyDescent="0.25">
      <c r="A241" s="41"/>
      <c r="B241" s="41"/>
      <c r="C241" s="44" t="s">
        <v>269</v>
      </c>
      <c r="D241" s="62">
        <f t="shared" si="74"/>
        <v>15000</v>
      </c>
      <c r="E241" s="62">
        <f>+E242</f>
        <v>0</v>
      </c>
      <c r="F241" s="133">
        <f t="shared" ref="F241:H241" si="77">+F242</f>
        <v>0</v>
      </c>
      <c r="G241" s="62">
        <f t="shared" si="77"/>
        <v>15000</v>
      </c>
      <c r="H241" s="62">
        <f t="shared" si="77"/>
        <v>0</v>
      </c>
    </row>
    <row r="242" spans="1:8" s="59" customFormat="1" x14ac:dyDescent="0.25">
      <c r="A242" s="63"/>
      <c r="B242" s="63"/>
      <c r="C242" s="47" t="s">
        <v>285</v>
      </c>
      <c r="D242" s="48">
        <f t="shared" si="74"/>
        <v>15000</v>
      </c>
      <c r="E242" s="48"/>
      <c r="F242" s="131"/>
      <c r="G242" s="48">
        <v>15000</v>
      </c>
      <c r="H242" s="48"/>
    </row>
    <row r="243" spans="1:8" s="39" customFormat="1" ht="27" customHeight="1" x14ac:dyDescent="0.2">
      <c r="A243" s="36">
        <v>1075</v>
      </c>
      <c r="B243" s="36">
        <v>32001</v>
      </c>
      <c r="C243" s="37" t="s">
        <v>286</v>
      </c>
      <c r="D243" s="38">
        <f>+E243+F243+G243+H243</f>
        <v>186782.2</v>
      </c>
      <c r="E243" s="38">
        <f t="shared" ref="E243:H243" si="78">+E245</f>
        <v>0</v>
      </c>
      <c r="F243" s="128">
        <f t="shared" si="78"/>
        <v>186782.2</v>
      </c>
      <c r="G243" s="38">
        <f t="shared" si="78"/>
        <v>0</v>
      </c>
      <c r="H243" s="38">
        <f t="shared" si="78"/>
        <v>0</v>
      </c>
    </row>
    <row r="244" spans="1:8" s="39" customFormat="1" x14ac:dyDescent="0.25">
      <c r="A244" s="51"/>
      <c r="B244" s="51"/>
      <c r="C244" s="52" t="s">
        <v>5</v>
      </c>
      <c r="D244" s="41"/>
      <c r="E244" s="41"/>
      <c r="F244" s="129"/>
      <c r="G244" s="41"/>
      <c r="H244" s="41"/>
    </row>
    <row r="245" spans="1:8" s="53" customFormat="1" ht="17.25" customHeight="1" x14ac:dyDescent="0.25">
      <c r="A245" s="41"/>
      <c r="B245" s="41"/>
      <c r="C245" s="44" t="s">
        <v>165</v>
      </c>
      <c r="D245" s="45">
        <f>SUM(E245:H245)</f>
        <v>186782.2</v>
      </c>
      <c r="E245" s="45">
        <f>+E246</f>
        <v>0</v>
      </c>
      <c r="F245" s="130">
        <f t="shared" ref="F245:H245" si="79">+F246</f>
        <v>186782.2</v>
      </c>
      <c r="G245" s="45">
        <f t="shared" si="79"/>
        <v>0</v>
      </c>
      <c r="H245" s="45">
        <f t="shared" si="79"/>
        <v>0</v>
      </c>
    </row>
    <row r="246" spans="1:8" s="59" customFormat="1" ht="26.25" customHeight="1" x14ac:dyDescent="0.25">
      <c r="A246" s="63"/>
      <c r="B246" s="63"/>
      <c r="C246" s="47" t="s">
        <v>287</v>
      </c>
      <c r="D246" s="48">
        <f>+E246+F246+G246+H246</f>
        <v>186782.2</v>
      </c>
      <c r="E246" s="48"/>
      <c r="F246" s="131">
        <v>186782.2</v>
      </c>
      <c r="G246" s="48"/>
      <c r="H246" s="48"/>
    </row>
    <row r="247" spans="1:8" s="39" customFormat="1" ht="28.5" x14ac:dyDescent="0.2">
      <c r="A247" s="36">
        <v>1075</v>
      </c>
      <c r="B247" s="36">
        <v>32008</v>
      </c>
      <c r="C247" s="37" t="s">
        <v>65</v>
      </c>
      <c r="D247" s="38">
        <f>+E247+F247+G247+H247</f>
        <v>3247.7</v>
      </c>
      <c r="E247" s="38">
        <f t="shared" ref="E247:H247" si="80">+E249+E251+E253</f>
        <v>0</v>
      </c>
      <c r="F247" s="128">
        <f t="shared" si="80"/>
        <v>0</v>
      </c>
      <c r="G247" s="38">
        <f t="shared" si="80"/>
        <v>0</v>
      </c>
      <c r="H247" s="38">
        <f t="shared" si="80"/>
        <v>3247.7</v>
      </c>
    </row>
    <row r="248" spans="1:8" s="39" customFormat="1" x14ac:dyDescent="0.25">
      <c r="A248" s="51"/>
      <c r="B248" s="51"/>
      <c r="C248" s="52" t="s">
        <v>5</v>
      </c>
      <c r="D248" s="41"/>
      <c r="E248" s="41"/>
      <c r="F248" s="129"/>
      <c r="G248" s="41"/>
      <c r="H248" s="41"/>
    </row>
    <row r="249" spans="1:8" s="59" customFormat="1" ht="14.25" x14ac:dyDescent="0.25">
      <c r="A249" s="64"/>
      <c r="B249" s="64"/>
      <c r="C249" s="44" t="s">
        <v>157</v>
      </c>
      <c r="D249" s="62">
        <f>SUM(E249:H249)</f>
        <v>1212.0999999999999</v>
      </c>
      <c r="E249" s="62">
        <f>+E250</f>
        <v>0</v>
      </c>
      <c r="F249" s="133">
        <f t="shared" ref="F249:H249" si="81">+F250</f>
        <v>0</v>
      </c>
      <c r="G249" s="62">
        <f t="shared" si="81"/>
        <v>0</v>
      </c>
      <c r="H249" s="62">
        <f t="shared" si="81"/>
        <v>1212.0999999999999</v>
      </c>
    </row>
    <row r="250" spans="1:8" s="59" customFormat="1" x14ac:dyDescent="0.25">
      <c r="A250" s="63"/>
      <c r="B250" s="63"/>
      <c r="C250" s="47" t="s">
        <v>288</v>
      </c>
      <c r="D250" s="48">
        <f t="shared" ref="D250" si="82">+E250+F250+G250+H250</f>
        <v>1212.0999999999999</v>
      </c>
      <c r="E250" s="48"/>
      <c r="F250" s="131"/>
      <c r="G250" s="48"/>
      <c r="H250" s="48">
        <v>1212.0999999999999</v>
      </c>
    </row>
    <row r="251" spans="1:8" s="59" customFormat="1" ht="14.25" x14ac:dyDescent="0.25">
      <c r="A251" s="64"/>
      <c r="B251" s="64"/>
      <c r="C251" s="44" t="s">
        <v>161</v>
      </c>
      <c r="D251" s="62">
        <f>SUM(E251:H251)</f>
        <v>294.60000000000002</v>
      </c>
      <c r="E251" s="62">
        <f>+E252</f>
        <v>0</v>
      </c>
      <c r="F251" s="133">
        <f t="shared" ref="F251:H251" si="83">+F252</f>
        <v>0</v>
      </c>
      <c r="G251" s="62">
        <f t="shared" si="83"/>
        <v>0</v>
      </c>
      <c r="H251" s="62">
        <f t="shared" si="83"/>
        <v>294.60000000000002</v>
      </c>
    </row>
    <row r="252" spans="1:8" s="59" customFormat="1" ht="23.25" customHeight="1" x14ac:dyDescent="0.25">
      <c r="A252" s="63"/>
      <c r="B252" s="63"/>
      <c r="C252" s="47" t="s">
        <v>289</v>
      </c>
      <c r="D252" s="48">
        <f t="shared" ref="D252" si="84">+E252+F252+G252+H252</f>
        <v>294.60000000000002</v>
      </c>
      <c r="E252" s="48"/>
      <c r="F252" s="131"/>
      <c r="G252" s="48"/>
      <c r="H252" s="48">
        <v>294.60000000000002</v>
      </c>
    </row>
    <row r="253" spans="1:8" s="59" customFormat="1" ht="14.25" x14ac:dyDescent="0.25">
      <c r="A253" s="64"/>
      <c r="B253" s="64"/>
      <c r="C253" s="44" t="s">
        <v>269</v>
      </c>
      <c r="D253" s="62">
        <f>SUM(E253:H253)</f>
        <v>1741</v>
      </c>
      <c r="E253" s="62">
        <f>+E254</f>
        <v>0</v>
      </c>
      <c r="F253" s="133">
        <f t="shared" ref="F253:H253" si="85">+F254</f>
        <v>0</v>
      </c>
      <c r="G253" s="62">
        <f t="shared" si="85"/>
        <v>0</v>
      </c>
      <c r="H253" s="62">
        <f t="shared" si="85"/>
        <v>1741</v>
      </c>
    </row>
    <row r="254" spans="1:8" s="59" customFormat="1" x14ac:dyDescent="0.25">
      <c r="A254" s="63"/>
      <c r="B254" s="63"/>
      <c r="C254" s="47" t="s">
        <v>290</v>
      </c>
      <c r="D254" s="48">
        <f t="shared" ref="D254" si="86">+E254+F254+G254+H254</f>
        <v>1741</v>
      </c>
      <c r="E254" s="48"/>
      <c r="F254" s="131"/>
      <c r="G254" s="48"/>
      <c r="H254" s="48">
        <v>1741</v>
      </c>
    </row>
    <row r="255" spans="1:8" s="39" customFormat="1" ht="27" customHeight="1" x14ac:dyDescent="0.2">
      <c r="A255" s="36">
        <v>1075</v>
      </c>
      <c r="B255" s="36">
        <v>32012</v>
      </c>
      <c r="C255" s="37" t="s">
        <v>291</v>
      </c>
      <c r="D255" s="38">
        <f>+E255+F255+G255+H255</f>
        <v>290997.7</v>
      </c>
      <c r="E255" s="38">
        <f>+E257</f>
        <v>290997.7</v>
      </c>
      <c r="F255" s="128">
        <f t="shared" ref="F255:H255" si="87">+F257</f>
        <v>0</v>
      </c>
      <c r="G255" s="38">
        <f t="shared" si="87"/>
        <v>0</v>
      </c>
      <c r="H255" s="38">
        <f t="shared" si="87"/>
        <v>0</v>
      </c>
    </row>
    <row r="256" spans="1:8" s="39" customFormat="1" x14ac:dyDescent="0.25">
      <c r="A256" s="51"/>
      <c r="B256" s="51"/>
      <c r="C256" s="52" t="s">
        <v>5</v>
      </c>
      <c r="D256" s="41"/>
      <c r="E256" s="41"/>
      <c r="F256" s="129"/>
      <c r="G256" s="41"/>
      <c r="H256" s="41"/>
    </row>
    <row r="257" spans="1:8" s="59" customFormat="1" ht="14.25" x14ac:dyDescent="0.25">
      <c r="A257" s="64"/>
      <c r="B257" s="64"/>
      <c r="C257" s="44" t="s">
        <v>165</v>
      </c>
      <c r="D257" s="62">
        <f>SUM(E257:H257)</f>
        <v>290997.7</v>
      </c>
      <c r="E257" s="62">
        <f t="shared" ref="E257:H257" si="88">+E258</f>
        <v>290997.7</v>
      </c>
      <c r="F257" s="133">
        <f t="shared" si="88"/>
        <v>0</v>
      </c>
      <c r="G257" s="62">
        <f t="shared" si="88"/>
        <v>0</v>
      </c>
      <c r="H257" s="62">
        <f t="shared" si="88"/>
        <v>0</v>
      </c>
    </row>
    <row r="258" spans="1:8" s="59" customFormat="1" ht="21.75" customHeight="1" x14ac:dyDescent="0.25">
      <c r="A258" s="63"/>
      <c r="B258" s="63"/>
      <c r="C258" s="47" t="s">
        <v>292</v>
      </c>
      <c r="D258" s="48">
        <f t="shared" ref="D258" si="89">+E258+F258+G258+H258</f>
        <v>290997.7</v>
      </c>
      <c r="E258" s="48">
        <v>290997.7</v>
      </c>
      <c r="F258" s="131"/>
      <c r="G258" s="48"/>
      <c r="H258" s="48"/>
    </row>
    <row r="259" spans="1:8" s="39" customFormat="1" ht="39" customHeight="1" x14ac:dyDescent="0.2">
      <c r="A259" s="36">
        <v>1162</v>
      </c>
      <c r="B259" s="36">
        <v>32004</v>
      </c>
      <c r="C259" s="37" t="s">
        <v>293</v>
      </c>
      <c r="D259" s="38">
        <f>SUM(E259:H259)</f>
        <v>2250000</v>
      </c>
      <c r="E259" s="38">
        <v>0</v>
      </c>
      <c r="F259" s="128">
        <v>0</v>
      </c>
      <c r="G259" s="38">
        <v>0</v>
      </c>
      <c r="H259" s="38">
        <v>2250000</v>
      </c>
    </row>
    <row r="260" spans="1:8" s="39" customFormat="1" ht="40.5" customHeight="1" x14ac:dyDescent="0.2">
      <c r="A260" s="36">
        <v>1163</v>
      </c>
      <c r="B260" s="36">
        <v>12001</v>
      </c>
      <c r="C260" s="37" t="s">
        <v>294</v>
      </c>
      <c r="D260" s="38">
        <f>+E260+F260+G260+H260</f>
        <v>2338651.4</v>
      </c>
      <c r="E260" s="38">
        <f t="shared" ref="E260:H260" si="90">+E262+E264</f>
        <v>2338651.4</v>
      </c>
      <c r="F260" s="128">
        <f t="shared" si="90"/>
        <v>0</v>
      </c>
      <c r="G260" s="38">
        <f t="shared" si="90"/>
        <v>0</v>
      </c>
      <c r="H260" s="38">
        <f t="shared" si="90"/>
        <v>0</v>
      </c>
    </row>
    <row r="261" spans="1:8" s="39" customFormat="1" x14ac:dyDescent="0.25">
      <c r="A261" s="51"/>
      <c r="B261" s="65"/>
      <c r="C261" s="52" t="s">
        <v>5</v>
      </c>
      <c r="D261" s="41"/>
      <c r="E261" s="41"/>
      <c r="F261" s="129"/>
      <c r="G261" s="41"/>
      <c r="H261" s="41"/>
    </row>
    <row r="262" spans="1:8" s="53" customFormat="1" ht="18.75" customHeight="1" x14ac:dyDescent="0.25">
      <c r="A262" s="41"/>
      <c r="B262" s="66"/>
      <c r="C262" s="44" t="s">
        <v>165</v>
      </c>
      <c r="D262" s="45">
        <f>SUM(E262:H262)</f>
        <v>1500000</v>
      </c>
      <c r="E262" s="45">
        <f>+E263</f>
        <v>1500000</v>
      </c>
      <c r="F262" s="130">
        <f>+F263</f>
        <v>0</v>
      </c>
      <c r="G262" s="45">
        <f>+G263</f>
        <v>0</v>
      </c>
      <c r="H262" s="45">
        <f>+H263</f>
        <v>0</v>
      </c>
    </row>
    <row r="263" spans="1:8" s="59" customFormat="1" ht="38.25" customHeight="1" x14ac:dyDescent="0.25">
      <c r="A263" s="41"/>
      <c r="B263" s="41"/>
      <c r="C263" s="47" t="s">
        <v>295</v>
      </c>
      <c r="D263" s="48">
        <f>SUM(E263:H263)</f>
        <v>1500000</v>
      </c>
      <c r="E263" s="48">
        <v>1500000</v>
      </c>
      <c r="F263" s="131"/>
      <c r="G263" s="48"/>
      <c r="H263" s="48"/>
    </row>
    <row r="264" spans="1:8" s="53" customFormat="1" ht="20.25" customHeight="1" x14ac:dyDescent="0.25">
      <c r="A264" s="41"/>
      <c r="B264" s="41"/>
      <c r="C264" s="44" t="s">
        <v>159</v>
      </c>
      <c r="D264" s="45">
        <f>SUM(E264:H264)</f>
        <v>838651.39999999991</v>
      </c>
      <c r="E264" s="45">
        <f>+E265</f>
        <v>838651.39999999991</v>
      </c>
      <c r="F264" s="130">
        <f>+F265</f>
        <v>0</v>
      </c>
      <c r="G264" s="45">
        <f>+G265</f>
        <v>0</v>
      </c>
      <c r="H264" s="45">
        <f>+H265</f>
        <v>0</v>
      </c>
    </row>
    <row r="265" spans="1:8" s="59" customFormat="1" x14ac:dyDescent="0.25">
      <c r="A265" s="41"/>
      <c r="B265" s="41"/>
      <c r="C265" s="47" t="s">
        <v>296</v>
      </c>
      <c r="D265" s="48">
        <f>SUM(E265:H265)</f>
        <v>838651.39999999991</v>
      </c>
      <c r="E265" s="48">
        <f>1338651.4-500000</f>
        <v>838651.39999999991</v>
      </c>
      <c r="F265" s="131"/>
      <c r="G265" s="48"/>
      <c r="H265" s="48"/>
    </row>
    <row r="266" spans="1:8" s="39" customFormat="1" ht="31.7" customHeight="1" x14ac:dyDescent="0.2">
      <c r="A266" s="36">
        <v>1163</v>
      </c>
      <c r="B266" s="36">
        <v>32001</v>
      </c>
      <c r="C266" s="37" t="s">
        <v>297</v>
      </c>
      <c r="D266" s="38">
        <f t="shared" ref="D266:G266" si="91">+D268+D271+D274+D276+D279+D282</f>
        <v>1968753.1</v>
      </c>
      <c r="E266" s="38">
        <f t="shared" si="91"/>
        <v>1929728.6</v>
      </c>
      <c r="F266" s="128">
        <f t="shared" si="91"/>
        <v>0</v>
      </c>
      <c r="G266" s="38">
        <f t="shared" si="91"/>
        <v>39024.5</v>
      </c>
      <c r="H266" s="38">
        <f>+H268+H271+H274+H276+H279+H282</f>
        <v>0</v>
      </c>
    </row>
    <row r="267" spans="1:8" s="39" customFormat="1" x14ac:dyDescent="0.25">
      <c r="A267" s="51"/>
      <c r="B267" s="51"/>
      <c r="C267" s="52" t="s">
        <v>5</v>
      </c>
      <c r="D267" s="67"/>
      <c r="E267" s="68"/>
      <c r="F267" s="129"/>
      <c r="G267" s="41"/>
      <c r="H267" s="41"/>
    </row>
    <row r="268" spans="1:8" s="53" customFormat="1" ht="14.25" x14ac:dyDescent="0.25">
      <c r="A268" s="41"/>
      <c r="B268" s="41"/>
      <c r="C268" s="44" t="s">
        <v>165</v>
      </c>
      <c r="D268" s="45">
        <f t="shared" ref="D268:D283" si="92">SUM(E268:H268)</f>
        <v>610590.69999999995</v>
      </c>
      <c r="E268" s="45">
        <f>+E269+E270</f>
        <v>610590.69999999995</v>
      </c>
      <c r="F268" s="130">
        <f t="shared" ref="F268:H268" si="93">+F269+F270</f>
        <v>0</v>
      </c>
      <c r="G268" s="45">
        <f>+G269+G270</f>
        <v>0</v>
      </c>
      <c r="H268" s="45">
        <f t="shared" si="93"/>
        <v>0</v>
      </c>
    </row>
    <row r="269" spans="1:8" s="59" customFormat="1" ht="17.25" customHeight="1" x14ac:dyDescent="0.25">
      <c r="A269" s="141"/>
      <c r="B269" s="141"/>
      <c r="C269" s="47" t="s">
        <v>298</v>
      </c>
      <c r="D269" s="48">
        <f t="shared" si="92"/>
        <v>326051.20000000001</v>
      </c>
      <c r="E269" s="48">
        <v>326051.20000000001</v>
      </c>
      <c r="F269" s="131"/>
      <c r="G269" s="48"/>
      <c r="H269" s="48"/>
    </row>
    <row r="270" spans="1:8" s="59" customFormat="1" ht="27" x14ac:dyDescent="0.25">
      <c r="A270" s="140"/>
      <c r="B270" s="140"/>
      <c r="C270" s="47" t="s">
        <v>299</v>
      </c>
      <c r="D270" s="48">
        <f t="shared" ref="D270" si="94">SUM(E270:H270)</f>
        <v>284539.49999999994</v>
      </c>
      <c r="E270" s="48">
        <v>284539.49999999994</v>
      </c>
      <c r="F270" s="131"/>
      <c r="G270" s="48"/>
      <c r="H270" s="48"/>
    </row>
    <row r="271" spans="1:8" s="53" customFormat="1" ht="19.5" customHeight="1" x14ac:dyDescent="0.25">
      <c r="A271" s="41"/>
      <c r="B271" s="41"/>
      <c r="C271" s="44" t="s">
        <v>147</v>
      </c>
      <c r="D271" s="45">
        <f t="shared" si="92"/>
        <v>484539.5</v>
      </c>
      <c r="E271" s="45">
        <f>+E272+E273</f>
        <v>484539.5</v>
      </c>
      <c r="F271" s="130">
        <f t="shared" ref="F271:H271" si="95">+F272+F273</f>
        <v>0</v>
      </c>
      <c r="G271" s="45">
        <f t="shared" si="95"/>
        <v>0</v>
      </c>
      <c r="H271" s="45">
        <f t="shared" si="95"/>
        <v>0</v>
      </c>
    </row>
    <row r="272" spans="1:8" s="59" customFormat="1" x14ac:dyDescent="0.25">
      <c r="A272" s="141"/>
      <c r="B272" s="141"/>
      <c r="C272" s="47" t="s">
        <v>300</v>
      </c>
      <c r="D272" s="48">
        <f t="shared" si="92"/>
        <v>284539.5</v>
      </c>
      <c r="E272" s="48">
        <v>284539.5</v>
      </c>
      <c r="F272" s="131"/>
      <c r="G272" s="48"/>
      <c r="H272" s="48"/>
    </row>
    <row r="273" spans="1:8" s="59" customFormat="1" ht="21" customHeight="1" x14ac:dyDescent="0.25">
      <c r="A273" s="140"/>
      <c r="B273" s="140"/>
      <c r="C273" s="47" t="s">
        <v>301</v>
      </c>
      <c r="D273" s="48">
        <f t="shared" ref="D273:D278" si="96">SUM(E273:H273)</f>
        <v>200000</v>
      </c>
      <c r="E273" s="48">
        <v>200000</v>
      </c>
      <c r="F273" s="131"/>
      <c r="G273" s="48"/>
      <c r="H273" s="48"/>
    </row>
    <row r="274" spans="1:8" s="53" customFormat="1" ht="24" customHeight="1" x14ac:dyDescent="0.25">
      <c r="A274" s="51"/>
      <c r="B274" s="51"/>
      <c r="C274" s="44" t="s">
        <v>149</v>
      </c>
      <c r="D274" s="45">
        <f t="shared" si="96"/>
        <v>200000</v>
      </c>
      <c r="E274" s="45">
        <f>+E275</f>
        <v>200000</v>
      </c>
      <c r="F274" s="130">
        <f t="shared" ref="F274:H274" si="97">+F275</f>
        <v>0</v>
      </c>
      <c r="G274" s="45">
        <f t="shared" si="97"/>
        <v>0</v>
      </c>
      <c r="H274" s="45">
        <f t="shared" si="97"/>
        <v>0</v>
      </c>
    </row>
    <row r="275" spans="1:8" s="59" customFormat="1" x14ac:dyDescent="0.25">
      <c r="A275" s="46"/>
      <c r="B275" s="46"/>
      <c r="C275" s="47" t="s">
        <v>302</v>
      </c>
      <c r="D275" s="48">
        <f t="shared" si="96"/>
        <v>200000</v>
      </c>
      <c r="E275" s="48">
        <v>200000</v>
      </c>
      <c r="F275" s="131"/>
      <c r="G275" s="48"/>
      <c r="H275" s="48"/>
    </row>
    <row r="276" spans="1:8" s="53" customFormat="1" ht="24" customHeight="1" x14ac:dyDescent="0.25">
      <c r="A276" s="51"/>
      <c r="B276" s="51"/>
      <c r="C276" s="44" t="s">
        <v>152</v>
      </c>
      <c r="D276" s="45">
        <f t="shared" si="96"/>
        <v>434598.40000000002</v>
      </c>
      <c r="E276" s="45">
        <f>SUM(E277:E278)</f>
        <v>434598.40000000002</v>
      </c>
      <c r="F276" s="130">
        <f t="shared" ref="F276:H276" si="98">SUM(F277:F278)</f>
        <v>0</v>
      </c>
      <c r="G276" s="45">
        <f t="shared" si="98"/>
        <v>0</v>
      </c>
      <c r="H276" s="45">
        <f t="shared" si="98"/>
        <v>0</v>
      </c>
    </row>
    <row r="277" spans="1:8" s="59" customFormat="1" x14ac:dyDescent="0.25">
      <c r="A277" s="141"/>
      <c r="B277" s="141"/>
      <c r="C277" s="47" t="s">
        <v>303</v>
      </c>
      <c r="D277" s="48">
        <f t="shared" si="96"/>
        <v>200000</v>
      </c>
      <c r="E277" s="48">
        <v>200000</v>
      </c>
      <c r="F277" s="131"/>
      <c r="G277" s="48"/>
      <c r="H277" s="48"/>
    </row>
    <row r="278" spans="1:8" s="59" customFormat="1" x14ac:dyDescent="0.25">
      <c r="A278" s="140"/>
      <c r="B278" s="140"/>
      <c r="C278" s="47" t="s">
        <v>304</v>
      </c>
      <c r="D278" s="48">
        <f t="shared" si="96"/>
        <v>234598.39999999999</v>
      </c>
      <c r="E278" s="48">
        <f>130998.4+103600</f>
        <v>234598.39999999999</v>
      </c>
      <c r="F278" s="131"/>
      <c r="G278" s="48"/>
      <c r="H278" s="48"/>
    </row>
    <row r="279" spans="1:8" s="53" customFormat="1" ht="24" customHeight="1" x14ac:dyDescent="0.25">
      <c r="A279" s="51"/>
      <c r="B279" s="51"/>
      <c r="C279" s="44" t="s">
        <v>157</v>
      </c>
      <c r="D279" s="45">
        <f t="shared" ref="D279:D280" si="99">SUM(E279:H279)</f>
        <v>39024.5</v>
      </c>
      <c r="E279" s="45">
        <f>SUM(E280:E281)</f>
        <v>0</v>
      </c>
      <c r="F279" s="130">
        <f t="shared" ref="F279:H279" si="100">SUM(F280:F281)</f>
        <v>0</v>
      </c>
      <c r="G279" s="45">
        <f t="shared" si="100"/>
        <v>39024.5</v>
      </c>
      <c r="H279" s="45">
        <f t="shared" si="100"/>
        <v>0</v>
      </c>
    </row>
    <row r="280" spans="1:8" s="59" customFormat="1" x14ac:dyDescent="0.25">
      <c r="A280" s="141"/>
      <c r="B280" s="141"/>
      <c r="C280" s="47" t="s">
        <v>305</v>
      </c>
      <c r="D280" s="48">
        <f t="shared" si="99"/>
        <v>22209.9</v>
      </c>
      <c r="E280" s="48"/>
      <c r="F280" s="131"/>
      <c r="G280" s="48">
        <v>22209.9</v>
      </c>
      <c r="H280" s="48"/>
    </row>
    <row r="281" spans="1:8" s="59" customFormat="1" x14ac:dyDescent="0.25">
      <c r="A281" s="140"/>
      <c r="B281" s="140"/>
      <c r="C281" s="47" t="s">
        <v>306</v>
      </c>
      <c r="D281" s="48">
        <f t="shared" ref="D281" si="101">SUM(E281:H281)</f>
        <v>16814.599999999999</v>
      </c>
      <c r="E281" s="48"/>
      <c r="F281" s="131"/>
      <c r="G281" s="48">
        <v>16814.599999999999</v>
      </c>
      <c r="H281" s="48"/>
    </row>
    <row r="282" spans="1:8" s="53" customFormat="1" ht="16.5" customHeight="1" x14ac:dyDescent="0.25">
      <c r="A282" s="51"/>
      <c r="B282" s="51"/>
      <c r="C282" s="44" t="s">
        <v>269</v>
      </c>
      <c r="D282" s="45">
        <f t="shared" si="92"/>
        <v>200000</v>
      </c>
      <c r="E282" s="45">
        <f>+E283</f>
        <v>200000</v>
      </c>
      <c r="F282" s="130">
        <f>+F283</f>
        <v>0</v>
      </c>
      <c r="G282" s="45">
        <f>+G283</f>
        <v>0</v>
      </c>
      <c r="H282" s="45">
        <f>+H283</f>
        <v>0</v>
      </c>
    </row>
    <row r="283" spans="1:8" s="59" customFormat="1" x14ac:dyDescent="0.25">
      <c r="A283" s="51"/>
      <c r="B283" s="51"/>
      <c r="C283" s="47" t="s">
        <v>307</v>
      </c>
      <c r="D283" s="48">
        <f t="shared" si="92"/>
        <v>200000</v>
      </c>
      <c r="E283" s="48">
        <v>200000</v>
      </c>
      <c r="F283" s="131"/>
      <c r="G283" s="48"/>
      <c r="H283" s="48"/>
    </row>
    <row r="284" spans="1:8" s="39" customFormat="1" ht="36" customHeight="1" x14ac:dyDescent="0.2">
      <c r="A284" s="36">
        <v>1163</v>
      </c>
      <c r="B284" s="36">
        <v>32002</v>
      </c>
      <c r="C284" s="37" t="s">
        <v>308</v>
      </c>
      <c r="D284" s="38">
        <f>+E284+F284+G284+H284</f>
        <v>99197.400000000009</v>
      </c>
      <c r="E284" s="38">
        <f t="shared" ref="E284:H284" si="102">+E286+E288</f>
        <v>0</v>
      </c>
      <c r="F284" s="128">
        <f t="shared" si="102"/>
        <v>85793.8</v>
      </c>
      <c r="G284" s="38">
        <f t="shared" si="102"/>
        <v>13403.6</v>
      </c>
      <c r="H284" s="38">
        <f t="shared" si="102"/>
        <v>0</v>
      </c>
    </row>
    <row r="285" spans="1:8" s="39" customFormat="1" x14ac:dyDescent="0.25">
      <c r="A285" s="51"/>
      <c r="B285" s="51"/>
      <c r="C285" s="52" t="s">
        <v>5</v>
      </c>
      <c r="D285" s="41"/>
      <c r="E285" s="41"/>
      <c r="F285" s="129"/>
      <c r="G285" s="41"/>
      <c r="H285" s="41"/>
    </row>
    <row r="286" spans="1:8" s="59" customFormat="1" ht="14.25" x14ac:dyDescent="0.25">
      <c r="A286" s="41"/>
      <c r="B286" s="41"/>
      <c r="C286" s="44" t="s">
        <v>165</v>
      </c>
      <c r="D286" s="62">
        <f t="shared" ref="D286:D287" si="103">SUM(E286:H286)</f>
        <v>85793.8</v>
      </c>
      <c r="E286" s="62">
        <f>+E287</f>
        <v>0</v>
      </c>
      <c r="F286" s="133">
        <f t="shared" ref="F286:H288" si="104">+F287</f>
        <v>85793.8</v>
      </c>
      <c r="G286" s="62">
        <f t="shared" si="104"/>
        <v>0</v>
      </c>
      <c r="H286" s="62">
        <f t="shared" si="104"/>
        <v>0</v>
      </c>
    </row>
    <row r="287" spans="1:8" s="59" customFormat="1" x14ac:dyDescent="0.25">
      <c r="A287" s="41"/>
      <c r="B287" s="41"/>
      <c r="C287" s="47" t="s">
        <v>309</v>
      </c>
      <c r="D287" s="48">
        <f t="shared" si="103"/>
        <v>85793.8</v>
      </c>
      <c r="E287" s="48"/>
      <c r="F287" s="131">
        <v>85793.8</v>
      </c>
      <c r="G287" s="48"/>
      <c r="H287" s="48"/>
    </row>
    <row r="288" spans="1:8" s="59" customFormat="1" ht="14.25" x14ac:dyDescent="0.25">
      <c r="A288" s="41"/>
      <c r="B288" s="41"/>
      <c r="C288" s="44" t="s">
        <v>152</v>
      </c>
      <c r="D288" s="62">
        <f t="shared" ref="D288:D289" si="105">SUM(E288:H288)</f>
        <v>13403.6</v>
      </c>
      <c r="E288" s="62">
        <f>+E289</f>
        <v>0</v>
      </c>
      <c r="F288" s="133">
        <f>+F289</f>
        <v>0</v>
      </c>
      <c r="G288" s="62">
        <f t="shared" si="104"/>
        <v>13403.6</v>
      </c>
      <c r="H288" s="62">
        <f t="shared" si="104"/>
        <v>0</v>
      </c>
    </row>
    <row r="289" spans="1:8" s="59" customFormat="1" x14ac:dyDescent="0.25">
      <c r="A289" s="41"/>
      <c r="B289" s="41"/>
      <c r="C289" s="47" t="s">
        <v>310</v>
      </c>
      <c r="D289" s="48">
        <f t="shared" si="105"/>
        <v>13403.6</v>
      </c>
      <c r="E289" s="48"/>
      <c r="F289" s="131"/>
      <c r="G289" s="48">
        <v>13403.6</v>
      </c>
      <c r="H289" s="48"/>
    </row>
    <row r="290" spans="1:8" s="59" customFormat="1" ht="28.5" x14ac:dyDescent="0.25">
      <c r="A290" s="36">
        <v>1163</v>
      </c>
      <c r="B290" s="36">
        <v>32006</v>
      </c>
      <c r="C290" s="37" t="s">
        <v>576</v>
      </c>
      <c r="D290" s="38">
        <f>+E290+F290+G290+H290</f>
        <v>500000</v>
      </c>
      <c r="E290" s="38">
        <f>+E292</f>
        <v>500000</v>
      </c>
      <c r="F290" s="128">
        <f t="shared" ref="F290:H290" si="106">+F292</f>
        <v>0</v>
      </c>
      <c r="G290" s="38">
        <f t="shared" si="106"/>
        <v>0</v>
      </c>
      <c r="H290" s="38">
        <f t="shared" si="106"/>
        <v>0</v>
      </c>
    </row>
    <row r="291" spans="1:8" s="59" customFormat="1" x14ac:dyDescent="0.25">
      <c r="A291" s="51"/>
      <c r="B291" s="51"/>
      <c r="C291" s="52" t="s">
        <v>5</v>
      </c>
      <c r="D291" s="41"/>
      <c r="E291" s="41"/>
      <c r="F291" s="129"/>
      <c r="G291" s="41"/>
      <c r="H291" s="41"/>
    </row>
    <row r="292" spans="1:8" s="59" customFormat="1" ht="14.25" x14ac:dyDescent="0.25">
      <c r="A292" s="41"/>
      <c r="B292" s="41"/>
      <c r="C292" s="44" t="s">
        <v>157</v>
      </c>
      <c r="D292" s="62">
        <f t="shared" ref="D292:D293" si="107">SUM(E292:H292)</f>
        <v>500000</v>
      </c>
      <c r="E292" s="62">
        <f>+E293</f>
        <v>500000</v>
      </c>
      <c r="F292" s="133">
        <f t="shared" ref="F292:H292" si="108">+F293</f>
        <v>0</v>
      </c>
      <c r="G292" s="62">
        <f t="shared" si="108"/>
        <v>0</v>
      </c>
      <c r="H292" s="62">
        <f t="shared" si="108"/>
        <v>0</v>
      </c>
    </row>
    <row r="293" spans="1:8" s="59" customFormat="1" x14ac:dyDescent="0.25">
      <c r="A293" s="41"/>
      <c r="B293" s="41"/>
      <c r="C293" s="47" t="s">
        <v>577</v>
      </c>
      <c r="D293" s="48">
        <f t="shared" si="107"/>
        <v>500000</v>
      </c>
      <c r="E293" s="119">
        <v>500000</v>
      </c>
      <c r="F293" s="131"/>
      <c r="G293" s="48"/>
      <c r="H293" s="48"/>
    </row>
    <row r="294" spans="1:8" s="39" customFormat="1" ht="28.5" x14ac:dyDescent="0.2">
      <c r="A294" s="36">
        <v>1168</v>
      </c>
      <c r="B294" s="36">
        <v>32001</v>
      </c>
      <c r="C294" s="37" t="s">
        <v>311</v>
      </c>
      <c r="D294" s="38">
        <f>+E294+F294+G294+H294</f>
        <v>332336.10000000003</v>
      </c>
      <c r="E294" s="38">
        <f t="shared" ref="E294:H294" si="109">+E296+E298</f>
        <v>0</v>
      </c>
      <c r="F294" s="128">
        <f t="shared" si="109"/>
        <v>332336.10000000003</v>
      </c>
      <c r="G294" s="38">
        <f t="shared" si="109"/>
        <v>0</v>
      </c>
      <c r="H294" s="38">
        <f t="shared" si="109"/>
        <v>0</v>
      </c>
    </row>
    <row r="295" spans="1:8" s="39" customFormat="1" ht="15" customHeight="1" x14ac:dyDescent="0.25">
      <c r="A295" s="51"/>
      <c r="B295" s="51"/>
      <c r="C295" s="52" t="s">
        <v>5</v>
      </c>
      <c r="D295" s="41"/>
      <c r="E295" s="41"/>
      <c r="F295" s="129"/>
      <c r="G295" s="41"/>
      <c r="H295" s="41"/>
    </row>
    <row r="296" spans="1:8" s="59" customFormat="1" ht="17.25" customHeight="1" x14ac:dyDescent="0.25">
      <c r="A296" s="64"/>
      <c r="B296" s="69"/>
      <c r="C296" s="44" t="s">
        <v>165</v>
      </c>
      <c r="D296" s="62">
        <f t="shared" ref="D296:D299" si="110">SUM(E296:H296)</f>
        <v>156187.70000000001</v>
      </c>
      <c r="E296" s="62">
        <f>+E297</f>
        <v>0</v>
      </c>
      <c r="F296" s="133">
        <f t="shared" ref="F296:H296" si="111">+F297</f>
        <v>156187.70000000001</v>
      </c>
      <c r="G296" s="62">
        <f t="shared" si="111"/>
        <v>0</v>
      </c>
      <c r="H296" s="62">
        <f t="shared" si="111"/>
        <v>0</v>
      </c>
    </row>
    <row r="297" spans="1:8" s="59" customFormat="1" ht="19.5" customHeight="1" x14ac:dyDescent="0.2">
      <c r="A297" s="35"/>
      <c r="B297" s="35"/>
      <c r="C297" s="47" t="s">
        <v>312</v>
      </c>
      <c r="D297" s="48">
        <f t="shared" si="110"/>
        <v>156187.70000000001</v>
      </c>
      <c r="E297" s="48"/>
      <c r="F297" s="131">
        <v>156187.70000000001</v>
      </c>
      <c r="G297" s="48"/>
      <c r="H297" s="48"/>
    </row>
    <row r="298" spans="1:8" s="53" customFormat="1" ht="20.25" customHeight="1" x14ac:dyDescent="0.25">
      <c r="A298" s="41"/>
      <c r="B298" s="66"/>
      <c r="C298" s="44" t="s">
        <v>161</v>
      </c>
      <c r="D298" s="45">
        <f t="shared" si="110"/>
        <v>176148.40000000002</v>
      </c>
      <c r="E298" s="45">
        <f>SUM(E299:E299)</f>
        <v>0</v>
      </c>
      <c r="F298" s="130">
        <f>SUM(F299:F299)</f>
        <v>176148.40000000002</v>
      </c>
      <c r="G298" s="45">
        <f>SUM(G299:G299)</f>
        <v>0</v>
      </c>
      <c r="H298" s="45">
        <f>SUM(H299:H299)</f>
        <v>0</v>
      </c>
    </row>
    <row r="299" spans="1:8" s="59" customFormat="1" x14ac:dyDescent="0.25">
      <c r="A299" s="41"/>
      <c r="B299" s="41"/>
      <c r="C299" s="47" t="s">
        <v>313</v>
      </c>
      <c r="D299" s="48">
        <f t="shared" si="110"/>
        <v>176148.40000000002</v>
      </c>
      <c r="E299" s="48"/>
      <c r="F299" s="131">
        <v>176148.40000000002</v>
      </c>
      <c r="G299" s="48"/>
      <c r="H299" s="48"/>
    </row>
    <row r="300" spans="1:8" s="39" customFormat="1" ht="14.25" x14ac:dyDescent="0.2">
      <c r="A300" s="36">
        <v>1168</v>
      </c>
      <c r="B300" s="36">
        <v>32002</v>
      </c>
      <c r="C300" s="37" t="s">
        <v>314</v>
      </c>
      <c r="D300" s="38">
        <f>+E300+F300+G300+H300</f>
        <v>206504.1</v>
      </c>
      <c r="E300" s="38">
        <f t="shared" ref="E300:H300" si="112">+E302</f>
        <v>206504.1</v>
      </c>
      <c r="F300" s="128">
        <f t="shared" si="112"/>
        <v>0</v>
      </c>
      <c r="G300" s="38">
        <f t="shared" si="112"/>
        <v>0</v>
      </c>
      <c r="H300" s="38">
        <f t="shared" si="112"/>
        <v>0</v>
      </c>
    </row>
    <row r="301" spans="1:8" s="39" customFormat="1" ht="14.25" customHeight="1" x14ac:dyDescent="0.25">
      <c r="A301" s="51"/>
      <c r="B301" s="51"/>
      <c r="C301" s="52" t="s">
        <v>5</v>
      </c>
      <c r="D301" s="41"/>
      <c r="E301" s="41"/>
      <c r="F301" s="129"/>
      <c r="G301" s="41"/>
      <c r="H301" s="41"/>
    </row>
    <row r="302" spans="1:8" s="59" customFormat="1" ht="18.75" customHeight="1" x14ac:dyDescent="0.25">
      <c r="A302" s="64"/>
      <c r="B302" s="69"/>
      <c r="C302" s="44" t="s">
        <v>157</v>
      </c>
      <c r="D302" s="62">
        <f t="shared" ref="D302:D303" si="113">SUM(E302:H302)</f>
        <v>206504.1</v>
      </c>
      <c r="E302" s="62">
        <f t="shared" ref="E302:H302" si="114">+E303</f>
        <v>206504.1</v>
      </c>
      <c r="F302" s="133">
        <f t="shared" si="114"/>
        <v>0</v>
      </c>
      <c r="G302" s="62">
        <f t="shared" si="114"/>
        <v>0</v>
      </c>
      <c r="H302" s="62">
        <f t="shared" si="114"/>
        <v>0</v>
      </c>
    </row>
    <row r="303" spans="1:8" s="59" customFormat="1" ht="21" customHeight="1" x14ac:dyDescent="0.2">
      <c r="A303" s="35"/>
      <c r="B303" s="35"/>
      <c r="C303" s="47" t="s">
        <v>315</v>
      </c>
      <c r="D303" s="48">
        <f t="shared" si="113"/>
        <v>206504.1</v>
      </c>
      <c r="E303" s="48">
        <v>206504.1</v>
      </c>
      <c r="F303" s="131"/>
      <c r="G303" s="48"/>
      <c r="H303" s="48"/>
    </row>
    <row r="304" spans="1:8" s="39" customFormat="1" ht="33" customHeight="1" x14ac:dyDescent="0.2">
      <c r="A304" s="36">
        <v>1168</v>
      </c>
      <c r="B304" s="36">
        <v>32007</v>
      </c>
      <c r="C304" s="37" t="s">
        <v>316</v>
      </c>
      <c r="D304" s="38">
        <f>+E304+F304+G304+H304</f>
        <v>293300.8</v>
      </c>
      <c r="E304" s="38">
        <f t="shared" ref="E304:H304" si="115">+E306</f>
        <v>0</v>
      </c>
      <c r="F304" s="128">
        <f t="shared" si="115"/>
        <v>0</v>
      </c>
      <c r="G304" s="38">
        <f t="shared" si="115"/>
        <v>0</v>
      </c>
      <c r="H304" s="38">
        <f t="shared" si="115"/>
        <v>293300.8</v>
      </c>
    </row>
    <row r="305" spans="1:8" s="39" customFormat="1" ht="14.25" customHeight="1" x14ac:dyDescent="0.25">
      <c r="A305" s="51"/>
      <c r="B305" s="51"/>
      <c r="C305" s="52" t="s">
        <v>5</v>
      </c>
      <c r="D305" s="41"/>
      <c r="E305" s="41"/>
      <c r="F305" s="129"/>
      <c r="G305" s="41"/>
      <c r="H305" s="41"/>
    </row>
    <row r="306" spans="1:8" s="59" customFormat="1" ht="19.5" customHeight="1" x14ac:dyDescent="0.25">
      <c r="A306" s="64"/>
      <c r="B306" s="69"/>
      <c r="C306" s="44" t="s">
        <v>165</v>
      </c>
      <c r="D306" s="62">
        <f>SUM(E306:H306)</f>
        <v>293300.8</v>
      </c>
      <c r="E306" s="62">
        <f t="shared" ref="E306:H306" si="116">SUM(E307:E309)</f>
        <v>0</v>
      </c>
      <c r="F306" s="133">
        <f t="shared" si="116"/>
        <v>0</v>
      </c>
      <c r="G306" s="62">
        <f t="shared" si="116"/>
        <v>0</v>
      </c>
      <c r="H306" s="62">
        <f t="shared" si="116"/>
        <v>293300.8</v>
      </c>
    </row>
    <row r="307" spans="1:8" s="59" customFormat="1" x14ac:dyDescent="0.25">
      <c r="A307" s="141"/>
      <c r="B307" s="141"/>
      <c r="C307" s="47" t="s">
        <v>317</v>
      </c>
      <c r="D307" s="48">
        <f>SUM(E307:H307)</f>
        <v>1304</v>
      </c>
      <c r="E307" s="48"/>
      <c r="F307" s="131"/>
      <c r="G307" s="48"/>
      <c r="H307" s="48">
        <v>1304</v>
      </c>
    </row>
    <row r="308" spans="1:8" s="59" customFormat="1" x14ac:dyDescent="0.25">
      <c r="A308" s="139"/>
      <c r="B308" s="139"/>
      <c r="C308" s="47" t="s">
        <v>318</v>
      </c>
      <c r="D308" s="48">
        <f>SUM(E308:H308)</f>
        <v>24000</v>
      </c>
      <c r="E308" s="48"/>
      <c r="F308" s="131"/>
      <c r="G308" s="48"/>
      <c r="H308" s="48">
        <v>24000</v>
      </c>
    </row>
    <row r="309" spans="1:8" s="59" customFormat="1" x14ac:dyDescent="0.25">
      <c r="A309" s="140"/>
      <c r="B309" s="140"/>
      <c r="C309" s="47" t="s">
        <v>319</v>
      </c>
      <c r="D309" s="48">
        <f>SUM(E309:H309)</f>
        <v>267996.79999999999</v>
      </c>
      <c r="E309" s="48"/>
      <c r="F309" s="131"/>
      <c r="G309" s="48"/>
      <c r="H309" s="48">
        <v>267996.79999999999</v>
      </c>
    </row>
    <row r="310" spans="1:8" s="39" customFormat="1" ht="14.25" x14ac:dyDescent="0.2">
      <c r="A310" s="36">
        <v>1168</v>
      </c>
      <c r="B310" s="36">
        <v>32008</v>
      </c>
      <c r="C310" s="37" t="s">
        <v>320</v>
      </c>
      <c r="D310" s="38">
        <f>+E310+F310+G310+H310</f>
        <v>144855</v>
      </c>
      <c r="E310" s="38">
        <f t="shared" ref="E310:H310" si="117">+E312</f>
        <v>0</v>
      </c>
      <c r="F310" s="128">
        <f t="shared" si="117"/>
        <v>0</v>
      </c>
      <c r="G310" s="38">
        <f t="shared" si="117"/>
        <v>0</v>
      </c>
      <c r="H310" s="38">
        <f t="shared" si="117"/>
        <v>144855</v>
      </c>
    </row>
    <row r="311" spans="1:8" s="39" customFormat="1" ht="15.75" customHeight="1" x14ac:dyDescent="0.25">
      <c r="A311" s="51"/>
      <c r="B311" s="51"/>
      <c r="C311" s="52" t="s">
        <v>5</v>
      </c>
      <c r="D311" s="41"/>
      <c r="E311" s="41"/>
      <c r="F311" s="129"/>
      <c r="G311" s="41"/>
      <c r="H311" s="41"/>
    </row>
    <row r="312" spans="1:8" s="59" customFormat="1" ht="18.75" customHeight="1" x14ac:dyDescent="0.25">
      <c r="A312" s="64"/>
      <c r="B312" s="69"/>
      <c r="C312" s="44" t="s">
        <v>165</v>
      </c>
      <c r="D312" s="62">
        <f>SUM(E312:H312)</f>
        <v>144855</v>
      </c>
      <c r="E312" s="62">
        <f t="shared" ref="E312:H312" si="118">+E313</f>
        <v>0</v>
      </c>
      <c r="F312" s="133">
        <f t="shared" si="118"/>
        <v>0</v>
      </c>
      <c r="G312" s="62">
        <f t="shared" si="118"/>
        <v>0</v>
      </c>
      <c r="H312" s="62">
        <f t="shared" si="118"/>
        <v>144855</v>
      </c>
    </row>
    <row r="313" spans="1:8" s="59" customFormat="1" x14ac:dyDescent="0.25">
      <c r="A313" s="63"/>
      <c r="B313" s="63"/>
      <c r="C313" s="47" t="s">
        <v>318</v>
      </c>
      <c r="D313" s="48">
        <f>SUM(E313:H313)</f>
        <v>144855</v>
      </c>
      <c r="E313" s="48"/>
      <c r="F313" s="131"/>
      <c r="G313" s="48"/>
      <c r="H313" s="48">
        <v>144855</v>
      </c>
    </row>
    <row r="314" spans="1:8" s="39" customFormat="1" ht="39" customHeight="1" x14ac:dyDescent="0.2">
      <c r="A314" s="36">
        <v>1183</v>
      </c>
      <c r="B314" s="36">
        <v>32007</v>
      </c>
      <c r="C314" s="37" t="s">
        <v>321</v>
      </c>
      <c r="D314" s="38">
        <f>SUM(E314:H314)</f>
        <v>253142.7</v>
      </c>
      <c r="E314" s="38">
        <f t="shared" ref="E314:H314" si="119">+E316</f>
        <v>253142.7</v>
      </c>
      <c r="F314" s="128">
        <f t="shared" si="119"/>
        <v>0</v>
      </c>
      <c r="G314" s="38">
        <f t="shared" si="119"/>
        <v>0</v>
      </c>
      <c r="H314" s="38">
        <f t="shared" si="119"/>
        <v>0</v>
      </c>
    </row>
    <row r="315" spans="1:8" s="39" customFormat="1" x14ac:dyDescent="0.25">
      <c r="A315" s="51"/>
      <c r="B315" s="51"/>
      <c r="C315" s="52" t="s">
        <v>5</v>
      </c>
      <c r="D315" s="70"/>
      <c r="E315" s="70"/>
      <c r="F315" s="134"/>
      <c r="G315" s="70"/>
      <c r="H315" s="70"/>
    </row>
    <row r="316" spans="1:8" s="53" customFormat="1" ht="18.75" customHeight="1" x14ac:dyDescent="0.25">
      <c r="A316" s="41"/>
      <c r="B316" s="41"/>
      <c r="C316" s="44" t="s">
        <v>159</v>
      </c>
      <c r="D316" s="45">
        <f>SUM(E316:H316)</f>
        <v>253142.7</v>
      </c>
      <c r="E316" s="45">
        <f t="shared" ref="E316:H316" si="120">+E317+E318</f>
        <v>253142.7</v>
      </c>
      <c r="F316" s="130">
        <f t="shared" si="120"/>
        <v>0</v>
      </c>
      <c r="G316" s="45">
        <f t="shared" si="120"/>
        <v>0</v>
      </c>
      <c r="H316" s="45">
        <f t="shared" si="120"/>
        <v>0</v>
      </c>
    </row>
    <row r="317" spans="1:8" s="59" customFormat="1" x14ac:dyDescent="0.25">
      <c r="A317" s="150"/>
      <c r="B317" s="150"/>
      <c r="C317" s="47" t="s">
        <v>322</v>
      </c>
      <c r="D317" s="48">
        <f>+E317+F317+G317+H317</f>
        <v>138482.6</v>
      </c>
      <c r="E317" s="48">
        <v>138482.6</v>
      </c>
      <c r="F317" s="131"/>
      <c r="G317" s="48"/>
      <c r="H317" s="49"/>
    </row>
    <row r="318" spans="1:8" s="59" customFormat="1" x14ac:dyDescent="0.25">
      <c r="A318" s="152"/>
      <c r="B318" s="152"/>
      <c r="C318" s="71" t="s">
        <v>323</v>
      </c>
      <c r="D318" s="48">
        <f>+E318+F318+G318+H318</f>
        <v>114660.1</v>
      </c>
      <c r="E318" s="48">
        <v>114660.1</v>
      </c>
      <c r="F318" s="131"/>
      <c r="G318" s="48"/>
      <c r="H318" s="49"/>
    </row>
    <row r="319" spans="1:8" s="39" customFormat="1" ht="28.5" x14ac:dyDescent="0.2">
      <c r="A319" s="36">
        <v>1183</v>
      </c>
      <c r="B319" s="36">
        <v>32009</v>
      </c>
      <c r="C319" s="37" t="s">
        <v>324</v>
      </c>
      <c r="D319" s="38">
        <f>SUM(E319:H319)</f>
        <v>503516.1</v>
      </c>
      <c r="E319" s="38">
        <f>+E321+E323+E325</f>
        <v>0</v>
      </c>
      <c r="F319" s="128">
        <f>+F321+F323+F325</f>
        <v>503516.1</v>
      </c>
      <c r="G319" s="38">
        <f t="shared" ref="G319:H319" si="121">+G321+G323+G325</f>
        <v>0</v>
      </c>
      <c r="H319" s="38">
        <f t="shared" si="121"/>
        <v>0</v>
      </c>
    </row>
    <row r="320" spans="1:8" s="39" customFormat="1" x14ac:dyDescent="0.25">
      <c r="A320" s="51"/>
      <c r="B320" s="51"/>
      <c r="C320" s="52" t="s">
        <v>5</v>
      </c>
      <c r="D320" s="70"/>
      <c r="E320" s="70"/>
      <c r="F320" s="134">
        <f>503516.1-F319</f>
        <v>0</v>
      </c>
      <c r="G320" s="70"/>
      <c r="H320" s="41"/>
    </row>
    <row r="321" spans="1:8" s="53" customFormat="1" ht="19.5" customHeight="1" x14ac:dyDescent="0.25">
      <c r="A321" s="41"/>
      <c r="B321" s="41"/>
      <c r="C321" s="44" t="s">
        <v>159</v>
      </c>
      <c r="D321" s="45">
        <f>SUM(E321:H321)</f>
        <v>190707.1</v>
      </c>
      <c r="E321" s="45">
        <f>+E322</f>
        <v>0</v>
      </c>
      <c r="F321" s="130">
        <f>+F322</f>
        <v>190707.1</v>
      </c>
      <c r="G321" s="45">
        <f>+G322</f>
        <v>0</v>
      </c>
      <c r="H321" s="45">
        <f>+H322</f>
        <v>0</v>
      </c>
    </row>
    <row r="322" spans="1:8" s="59" customFormat="1" x14ac:dyDescent="0.25">
      <c r="A322" s="41"/>
      <c r="B322" s="41"/>
      <c r="C322" s="47" t="s">
        <v>325</v>
      </c>
      <c r="D322" s="48">
        <f>+E322+F322+G322+H322</f>
        <v>190707.1</v>
      </c>
      <c r="E322" s="48"/>
      <c r="F322" s="131">
        <v>190707.1</v>
      </c>
      <c r="G322" s="48"/>
      <c r="H322" s="49"/>
    </row>
    <row r="323" spans="1:8" s="53" customFormat="1" ht="25.5" customHeight="1" x14ac:dyDescent="0.25">
      <c r="A323" s="41"/>
      <c r="B323" s="41"/>
      <c r="C323" s="44" t="s">
        <v>161</v>
      </c>
      <c r="D323" s="45">
        <f>SUM(E323:H323)</f>
        <v>190707.1</v>
      </c>
      <c r="E323" s="45">
        <f>+E324</f>
        <v>0</v>
      </c>
      <c r="F323" s="130">
        <f>+F324</f>
        <v>190707.1</v>
      </c>
      <c r="G323" s="45">
        <f>+G324</f>
        <v>0</v>
      </c>
      <c r="H323" s="45">
        <f>+H324</f>
        <v>0</v>
      </c>
    </row>
    <row r="324" spans="1:8" s="59" customFormat="1" x14ac:dyDescent="0.25">
      <c r="A324" s="41"/>
      <c r="B324" s="41"/>
      <c r="C324" s="47" t="s">
        <v>326</v>
      </c>
      <c r="D324" s="48">
        <f>+E324+F324+G324+H324</f>
        <v>190707.1</v>
      </c>
      <c r="E324" s="48"/>
      <c r="F324" s="131">
        <v>190707.1</v>
      </c>
      <c r="G324" s="48"/>
      <c r="H324" s="49"/>
    </row>
    <row r="325" spans="1:8" s="53" customFormat="1" ht="19.5" customHeight="1" x14ac:dyDescent="0.25">
      <c r="A325" s="41"/>
      <c r="B325" s="41"/>
      <c r="C325" s="44" t="s">
        <v>203</v>
      </c>
      <c r="D325" s="45">
        <f>SUM(E325:H325)</f>
        <v>122101.9</v>
      </c>
      <c r="E325" s="45">
        <f>+E326</f>
        <v>0</v>
      </c>
      <c r="F325" s="130">
        <f>+F326</f>
        <v>122101.9</v>
      </c>
      <c r="G325" s="45">
        <f>+G326</f>
        <v>0</v>
      </c>
      <c r="H325" s="45">
        <f>+H326</f>
        <v>0</v>
      </c>
    </row>
    <row r="326" spans="1:8" s="59" customFormat="1" x14ac:dyDescent="0.25">
      <c r="A326" s="41"/>
      <c r="B326" s="41"/>
      <c r="C326" s="47" t="s">
        <v>327</v>
      </c>
      <c r="D326" s="48">
        <f>+E326+F326+G326+H326</f>
        <v>122101.9</v>
      </c>
      <c r="E326" s="48"/>
      <c r="F326" s="131">
        <v>122101.9</v>
      </c>
      <c r="G326" s="48"/>
      <c r="H326" s="49"/>
    </row>
    <row r="327" spans="1:8" s="39" customFormat="1" ht="14.25" x14ac:dyDescent="0.2">
      <c r="A327" s="36">
        <v>1192</v>
      </c>
      <c r="B327" s="36">
        <v>32007</v>
      </c>
      <c r="C327" s="37" t="s">
        <v>328</v>
      </c>
      <c r="D327" s="38">
        <f t="shared" ref="D327" si="122">SUM(E327:H327)</f>
        <v>2547318.7999999998</v>
      </c>
      <c r="E327" s="38">
        <v>0</v>
      </c>
      <c r="F327" s="128">
        <v>0</v>
      </c>
      <c r="G327" s="38">
        <v>0</v>
      </c>
      <c r="H327" s="38">
        <v>2547318.7999999998</v>
      </c>
    </row>
    <row r="328" spans="1:8" s="39" customFormat="1" ht="23.25" customHeight="1" x14ac:dyDescent="0.2">
      <c r="A328" s="36">
        <v>1196</v>
      </c>
      <c r="B328" s="36">
        <v>12002</v>
      </c>
      <c r="C328" s="37" t="s">
        <v>329</v>
      </c>
      <c r="D328" s="38">
        <f t="shared" ref="D328:D329" si="123">SUM(E328:H328)</f>
        <v>150000</v>
      </c>
      <c r="E328" s="38">
        <v>0</v>
      </c>
      <c r="F328" s="128">
        <v>150000</v>
      </c>
      <c r="G328" s="38">
        <v>0</v>
      </c>
      <c r="H328" s="38">
        <v>0</v>
      </c>
    </row>
    <row r="329" spans="1:8" s="39" customFormat="1" ht="30" customHeight="1" x14ac:dyDescent="0.2">
      <c r="A329" s="36">
        <v>1198</v>
      </c>
      <c r="B329" s="36">
        <v>11003</v>
      </c>
      <c r="C329" s="37" t="s">
        <v>330</v>
      </c>
      <c r="D329" s="38">
        <f t="shared" si="123"/>
        <v>12805</v>
      </c>
      <c r="E329" s="38">
        <v>0</v>
      </c>
      <c r="F329" s="128">
        <v>0</v>
      </c>
      <c r="G329" s="38">
        <v>0</v>
      </c>
      <c r="H329" s="38">
        <v>12805</v>
      </c>
    </row>
    <row r="330" spans="1:8" s="39" customFormat="1" ht="30" customHeight="1" x14ac:dyDescent="0.2">
      <c r="A330" s="36">
        <v>1236</v>
      </c>
      <c r="B330" s="36">
        <v>32001</v>
      </c>
      <c r="C330" s="37" t="s">
        <v>331</v>
      </c>
      <c r="D330" s="38">
        <f>SUM(E330:H330)</f>
        <v>3376049.5</v>
      </c>
      <c r="E330" s="38">
        <f t="shared" ref="E330:H330" si="124">+E332+E333+E338+E340+E343+E345+E352</f>
        <v>3376049.5</v>
      </c>
      <c r="F330" s="128">
        <f t="shared" si="124"/>
        <v>0</v>
      </c>
      <c r="G330" s="38">
        <f t="shared" si="124"/>
        <v>0</v>
      </c>
      <c r="H330" s="38">
        <f t="shared" si="124"/>
        <v>0</v>
      </c>
    </row>
    <row r="331" spans="1:8" s="39" customFormat="1" x14ac:dyDescent="0.25">
      <c r="A331" s="51"/>
      <c r="B331" s="51"/>
      <c r="C331" s="52" t="s">
        <v>5</v>
      </c>
      <c r="D331" s="72"/>
      <c r="E331" s="41"/>
      <c r="F331" s="129"/>
      <c r="G331" s="41"/>
      <c r="H331" s="41"/>
    </row>
    <row r="332" spans="1:8" s="59" customFormat="1" ht="23.25" customHeight="1" x14ac:dyDescent="0.25">
      <c r="A332" s="41"/>
      <c r="B332" s="41"/>
      <c r="C332" s="44" t="s">
        <v>331</v>
      </c>
      <c r="D332" s="62">
        <f>SUM(E332:H332)</f>
        <v>483203.60000000009</v>
      </c>
      <c r="E332" s="62">
        <v>483203.60000000009</v>
      </c>
      <c r="F332" s="133">
        <v>0</v>
      </c>
      <c r="G332" s="62">
        <v>0</v>
      </c>
      <c r="H332" s="62">
        <v>0</v>
      </c>
    </row>
    <row r="333" spans="1:8" s="59" customFormat="1" ht="21" customHeight="1" x14ac:dyDescent="0.25">
      <c r="A333" s="41"/>
      <c r="B333" s="41"/>
      <c r="C333" s="44" t="s">
        <v>147</v>
      </c>
      <c r="D333" s="62">
        <f>SUM(E333:H333)</f>
        <v>415521.69999999995</v>
      </c>
      <c r="E333" s="62">
        <f t="shared" ref="E333:H333" si="125">SUM(E334:E337)</f>
        <v>415521.69999999995</v>
      </c>
      <c r="F333" s="133">
        <f t="shared" si="125"/>
        <v>0</v>
      </c>
      <c r="G333" s="62">
        <f t="shared" si="125"/>
        <v>0</v>
      </c>
      <c r="H333" s="62">
        <f t="shared" si="125"/>
        <v>0</v>
      </c>
    </row>
    <row r="334" spans="1:8" s="59" customFormat="1" ht="21.75" customHeight="1" x14ac:dyDescent="0.25">
      <c r="A334" s="141"/>
      <c r="B334" s="141"/>
      <c r="C334" s="47" t="s">
        <v>332</v>
      </c>
      <c r="D334" s="48">
        <f>+E334+F334+G334+H334</f>
        <v>100810.5</v>
      </c>
      <c r="E334" s="48">
        <v>100810.5</v>
      </c>
      <c r="F334" s="131"/>
      <c r="G334" s="48"/>
      <c r="H334" s="48"/>
    </row>
    <row r="335" spans="1:8" s="59" customFormat="1" ht="21.75" customHeight="1" x14ac:dyDescent="0.25">
      <c r="A335" s="139"/>
      <c r="B335" s="139"/>
      <c r="C335" s="47" t="s">
        <v>333</v>
      </c>
      <c r="D335" s="48">
        <f t="shared" ref="D335:D337" si="126">+E335+F335+G335+H335</f>
        <v>101834.5</v>
      </c>
      <c r="E335" s="48">
        <v>101834.5</v>
      </c>
      <c r="F335" s="131"/>
      <c r="G335" s="48"/>
      <c r="H335" s="48"/>
    </row>
    <row r="336" spans="1:8" s="59" customFormat="1" x14ac:dyDescent="0.25">
      <c r="A336" s="139"/>
      <c r="B336" s="139"/>
      <c r="C336" s="47" t="s">
        <v>334</v>
      </c>
      <c r="D336" s="48">
        <f t="shared" si="126"/>
        <v>111162.3</v>
      </c>
      <c r="E336" s="48">
        <v>111162.3</v>
      </c>
      <c r="F336" s="131"/>
      <c r="G336" s="48"/>
      <c r="H336" s="48"/>
    </row>
    <row r="337" spans="1:8" s="59" customFormat="1" ht="27" customHeight="1" x14ac:dyDescent="0.25">
      <c r="A337" s="140"/>
      <c r="B337" s="140"/>
      <c r="C337" s="47" t="s">
        <v>335</v>
      </c>
      <c r="D337" s="48">
        <f t="shared" si="126"/>
        <v>101714.4</v>
      </c>
      <c r="E337" s="48">
        <v>101714.4</v>
      </c>
      <c r="F337" s="131"/>
      <c r="G337" s="48"/>
      <c r="H337" s="48"/>
    </row>
    <row r="338" spans="1:8" s="59" customFormat="1" ht="18" customHeight="1" x14ac:dyDescent="0.25">
      <c r="A338" s="41"/>
      <c r="B338" s="41"/>
      <c r="C338" s="44" t="s">
        <v>149</v>
      </c>
      <c r="D338" s="62">
        <f>SUM(E338:H338)</f>
        <v>100083.8</v>
      </c>
      <c r="E338" s="62">
        <f t="shared" ref="E338:H338" si="127">+E339</f>
        <v>100083.8</v>
      </c>
      <c r="F338" s="133">
        <f t="shared" si="127"/>
        <v>0</v>
      </c>
      <c r="G338" s="62">
        <f t="shared" si="127"/>
        <v>0</v>
      </c>
      <c r="H338" s="62">
        <f t="shared" si="127"/>
        <v>0</v>
      </c>
    </row>
    <row r="339" spans="1:8" s="59" customFormat="1" ht="24.75" customHeight="1" x14ac:dyDescent="0.25">
      <c r="A339" s="46"/>
      <c r="B339" s="46"/>
      <c r="C339" s="47" t="s">
        <v>336</v>
      </c>
      <c r="D339" s="48">
        <f>+E339+F339+G339+H339</f>
        <v>100083.8</v>
      </c>
      <c r="E339" s="48">
        <v>100083.8</v>
      </c>
      <c r="F339" s="131"/>
      <c r="G339" s="48"/>
      <c r="H339" s="48"/>
    </row>
    <row r="340" spans="1:8" s="59" customFormat="1" ht="21" customHeight="1" x14ac:dyDescent="0.25">
      <c r="A340" s="41"/>
      <c r="B340" s="41"/>
      <c r="C340" s="44" t="s">
        <v>157</v>
      </c>
      <c r="D340" s="62">
        <f>SUM(E340:H340)</f>
        <v>705096.3</v>
      </c>
      <c r="E340" s="62">
        <f t="shared" ref="E340:H340" si="128">SUM(E341:E342)</f>
        <v>705096.3</v>
      </c>
      <c r="F340" s="133">
        <f t="shared" si="128"/>
        <v>0</v>
      </c>
      <c r="G340" s="62">
        <f t="shared" si="128"/>
        <v>0</v>
      </c>
      <c r="H340" s="62">
        <f t="shared" si="128"/>
        <v>0</v>
      </c>
    </row>
    <row r="341" spans="1:8" s="59" customFormat="1" ht="35.25" customHeight="1" x14ac:dyDescent="0.25">
      <c r="A341" s="141"/>
      <c r="B341" s="141"/>
      <c r="C341" s="47" t="s">
        <v>337</v>
      </c>
      <c r="D341" s="48">
        <f>+E341+F341+G341+H341</f>
        <v>308067.8</v>
      </c>
      <c r="E341" s="48">
        <f>234476+73591.8</f>
        <v>308067.8</v>
      </c>
      <c r="F341" s="131"/>
      <c r="G341" s="48"/>
      <c r="H341" s="48"/>
    </row>
    <row r="342" spans="1:8" s="59" customFormat="1" ht="32.25" customHeight="1" x14ac:dyDescent="0.25">
      <c r="A342" s="140"/>
      <c r="B342" s="140"/>
      <c r="C342" s="47" t="s">
        <v>338</v>
      </c>
      <c r="D342" s="48">
        <f>+E342+F342+G342+H342</f>
        <v>397028.5</v>
      </c>
      <c r="E342" s="48">
        <f>249696.3+147332.2</f>
        <v>397028.5</v>
      </c>
      <c r="F342" s="131"/>
      <c r="G342" s="48"/>
      <c r="H342" s="48"/>
    </row>
    <row r="343" spans="1:8" s="59" customFormat="1" ht="14.25" x14ac:dyDescent="0.25">
      <c r="A343" s="41"/>
      <c r="B343" s="41"/>
      <c r="C343" s="44" t="s">
        <v>154</v>
      </c>
      <c r="D343" s="62">
        <f>SUM(E343:H343)</f>
        <v>100000</v>
      </c>
      <c r="E343" s="62">
        <f t="shared" ref="E343:G343" si="129">+E344</f>
        <v>100000</v>
      </c>
      <c r="F343" s="133">
        <f t="shared" si="129"/>
        <v>0</v>
      </c>
      <c r="G343" s="62">
        <f t="shared" si="129"/>
        <v>0</v>
      </c>
      <c r="H343" s="62">
        <f>+H344</f>
        <v>0</v>
      </c>
    </row>
    <row r="344" spans="1:8" s="59" customFormat="1" x14ac:dyDescent="0.25">
      <c r="A344" s="46"/>
      <c r="B344" s="46"/>
      <c r="C344" s="47" t="s">
        <v>339</v>
      </c>
      <c r="D344" s="48">
        <f>+E344+F344+G344+H344</f>
        <v>100000</v>
      </c>
      <c r="E344" s="48">
        <v>100000</v>
      </c>
      <c r="F344" s="131"/>
      <c r="G344" s="48"/>
      <c r="H344" s="48"/>
    </row>
    <row r="345" spans="1:8" s="59" customFormat="1" ht="21.75" customHeight="1" x14ac:dyDescent="0.25">
      <c r="A345" s="41"/>
      <c r="B345" s="41"/>
      <c r="C345" s="44" t="s">
        <v>159</v>
      </c>
      <c r="D345" s="62">
        <f>SUM(E345:H345)</f>
        <v>1512144.0999999999</v>
      </c>
      <c r="E345" s="62">
        <f t="shared" ref="E345:H345" si="130">SUM(E346:E351)</f>
        <v>1512144.0999999999</v>
      </c>
      <c r="F345" s="133">
        <f t="shared" si="130"/>
        <v>0</v>
      </c>
      <c r="G345" s="62">
        <f t="shared" si="130"/>
        <v>0</v>
      </c>
      <c r="H345" s="62">
        <f t="shared" si="130"/>
        <v>0</v>
      </c>
    </row>
    <row r="346" spans="1:8" s="59" customFormat="1" ht="36" customHeight="1" x14ac:dyDescent="0.25">
      <c r="A346" s="150"/>
      <c r="B346" s="150"/>
      <c r="C346" s="47" t="s">
        <v>340</v>
      </c>
      <c r="D346" s="48">
        <f t="shared" ref="D346:D351" si="131">+E346+F346+G346+H346</f>
        <v>422112.19999999995</v>
      </c>
      <c r="E346" s="48">
        <f>231686.9+190425.3</f>
        <v>422112.19999999995</v>
      </c>
      <c r="F346" s="131"/>
      <c r="G346" s="48"/>
      <c r="H346" s="48"/>
    </row>
    <row r="347" spans="1:8" s="59" customFormat="1" ht="33.75" customHeight="1" x14ac:dyDescent="0.25">
      <c r="A347" s="151"/>
      <c r="B347" s="151"/>
      <c r="C347" s="47" t="s">
        <v>341</v>
      </c>
      <c r="D347" s="48">
        <f t="shared" si="131"/>
        <v>426502.2</v>
      </c>
      <c r="E347" s="48">
        <f>233368.5+193133.7</f>
        <v>426502.2</v>
      </c>
      <c r="F347" s="131"/>
      <c r="G347" s="48"/>
      <c r="H347" s="48"/>
    </row>
    <row r="348" spans="1:8" s="59" customFormat="1" x14ac:dyDescent="0.25">
      <c r="A348" s="151"/>
      <c r="B348" s="151"/>
      <c r="C348" s="47" t="s">
        <v>342</v>
      </c>
      <c r="D348" s="48">
        <f t="shared" si="131"/>
        <v>150000</v>
      </c>
      <c r="E348" s="48">
        <v>150000</v>
      </c>
      <c r="F348" s="131"/>
      <c r="G348" s="48"/>
      <c r="H348" s="48"/>
    </row>
    <row r="349" spans="1:8" s="59" customFormat="1" x14ac:dyDescent="0.25">
      <c r="A349" s="151"/>
      <c r="B349" s="151"/>
      <c r="C349" s="47" t="s">
        <v>343</v>
      </c>
      <c r="D349" s="48">
        <f t="shared" si="131"/>
        <v>275829.69999999995</v>
      </c>
      <c r="E349" s="48">
        <f>626607.7-550778+200000</f>
        <v>275829.69999999995</v>
      </c>
      <c r="F349" s="131"/>
      <c r="G349" s="48"/>
      <c r="H349" s="48"/>
    </row>
    <row r="350" spans="1:8" s="59" customFormat="1" x14ac:dyDescent="0.25">
      <c r="A350" s="151"/>
      <c r="B350" s="151"/>
      <c r="C350" s="47" t="s">
        <v>344</v>
      </c>
      <c r="D350" s="48">
        <f t="shared" si="131"/>
        <v>100000</v>
      </c>
      <c r="E350" s="48">
        <v>100000</v>
      </c>
      <c r="F350" s="131"/>
      <c r="G350" s="48"/>
      <c r="H350" s="48"/>
    </row>
    <row r="351" spans="1:8" s="59" customFormat="1" x14ac:dyDescent="0.25">
      <c r="A351" s="152"/>
      <c r="B351" s="152"/>
      <c r="C351" s="47" t="s">
        <v>345</v>
      </c>
      <c r="D351" s="48">
        <f t="shared" si="131"/>
        <v>137700</v>
      </c>
      <c r="E351" s="48">
        <f>287700-150000</f>
        <v>137700</v>
      </c>
      <c r="F351" s="131"/>
      <c r="G351" s="48"/>
      <c r="H351" s="48"/>
    </row>
    <row r="352" spans="1:8" s="59" customFormat="1" ht="22.5" customHeight="1" x14ac:dyDescent="0.25">
      <c r="A352" s="41"/>
      <c r="B352" s="41"/>
      <c r="C352" s="44" t="s">
        <v>203</v>
      </c>
      <c r="D352" s="62">
        <f>SUM(E352:H352)</f>
        <v>60000</v>
      </c>
      <c r="E352" s="62">
        <f>+E353</f>
        <v>60000</v>
      </c>
      <c r="F352" s="133">
        <f>+F353</f>
        <v>0</v>
      </c>
      <c r="G352" s="62">
        <f>+G353</f>
        <v>0</v>
      </c>
      <c r="H352" s="62">
        <f>+H353</f>
        <v>0</v>
      </c>
    </row>
    <row r="353" spans="1:8" s="59" customFormat="1" x14ac:dyDescent="0.25">
      <c r="A353" s="41"/>
      <c r="B353" s="41"/>
      <c r="C353" s="47" t="s">
        <v>346</v>
      </c>
      <c r="D353" s="48">
        <f>+E353+F353+G353+H353</f>
        <v>60000</v>
      </c>
      <c r="E353" s="48">
        <v>60000</v>
      </c>
      <c r="F353" s="131"/>
      <c r="G353" s="48"/>
      <c r="H353" s="48"/>
    </row>
    <row r="354" spans="1:8" s="39" customFormat="1" ht="23.25" customHeight="1" x14ac:dyDescent="0.2">
      <c r="A354" s="36">
        <v>1236</v>
      </c>
      <c r="B354" s="36">
        <v>32002</v>
      </c>
      <c r="C354" s="37" t="s">
        <v>68</v>
      </c>
      <c r="D354" s="38">
        <f>SUM(E354:H354)</f>
        <v>4238942.0999999996</v>
      </c>
      <c r="E354" s="38">
        <f t="shared" ref="E354:H354" si="132">+E356+E357</f>
        <v>0</v>
      </c>
      <c r="F354" s="128">
        <f t="shared" si="132"/>
        <v>4238942.0999999996</v>
      </c>
      <c r="G354" s="38">
        <f t="shared" si="132"/>
        <v>0</v>
      </c>
      <c r="H354" s="38">
        <f t="shared" si="132"/>
        <v>0</v>
      </c>
    </row>
    <row r="355" spans="1:8" s="39" customFormat="1" x14ac:dyDescent="0.25">
      <c r="A355" s="51"/>
      <c r="B355" s="51"/>
      <c r="C355" s="52" t="s">
        <v>5</v>
      </c>
      <c r="D355" s="41"/>
      <c r="E355" s="41"/>
      <c r="F355" s="129"/>
      <c r="G355" s="41"/>
      <c r="H355" s="41"/>
    </row>
    <row r="356" spans="1:8" s="59" customFormat="1" ht="14.25" x14ac:dyDescent="0.25">
      <c r="A356" s="41"/>
      <c r="B356" s="41"/>
      <c r="C356" s="44" t="s">
        <v>68</v>
      </c>
      <c r="D356" s="62">
        <f>SUM(E356:H356)</f>
        <v>4217757.5999999996</v>
      </c>
      <c r="E356" s="62">
        <v>0</v>
      </c>
      <c r="F356" s="133">
        <v>4217757.5999999996</v>
      </c>
      <c r="G356" s="62">
        <v>0</v>
      </c>
      <c r="H356" s="62">
        <v>0</v>
      </c>
    </row>
    <row r="357" spans="1:8" s="59" customFormat="1" ht="19.5" customHeight="1" x14ac:dyDescent="0.25">
      <c r="A357" s="41"/>
      <c r="B357" s="41"/>
      <c r="C357" s="44" t="s">
        <v>185</v>
      </c>
      <c r="D357" s="62">
        <f>SUM(E357:H357)</f>
        <v>21184.5</v>
      </c>
      <c r="E357" s="62">
        <f>+E358</f>
        <v>0</v>
      </c>
      <c r="F357" s="133">
        <f>+F358</f>
        <v>21184.5</v>
      </c>
      <c r="G357" s="62">
        <f>+G358</f>
        <v>0</v>
      </c>
      <c r="H357" s="62">
        <f>+H358</f>
        <v>0</v>
      </c>
    </row>
    <row r="358" spans="1:8" s="59" customFormat="1" x14ac:dyDescent="0.25">
      <c r="A358" s="41"/>
      <c r="B358" s="41"/>
      <c r="C358" s="47" t="s">
        <v>347</v>
      </c>
      <c r="D358" s="48">
        <f>+E358+F358+G358+H358</f>
        <v>21184.5</v>
      </c>
      <c r="E358" s="48"/>
      <c r="F358" s="131">
        <v>21184.5</v>
      </c>
      <c r="G358" s="48"/>
      <c r="H358" s="48"/>
    </row>
    <row r="359" spans="1:8" s="73" customFormat="1" ht="22.5" customHeight="1" x14ac:dyDescent="0.2">
      <c r="A359" s="36">
        <v>1236</v>
      </c>
      <c r="B359" s="36">
        <v>32003</v>
      </c>
      <c r="C359" s="37" t="s">
        <v>348</v>
      </c>
      <c r="D359" s="38">
        <f>SUM(E359:H359)</f>
        <v>50781876.900000006</v>
      </c>
      <c r="E359" s="38">
        <f t="shared" ref="E359:H359" si="133">+E361+E362+E363+E369+E376+E383+E399+E405+E415+E424+E432+E446+E448</f>
        <v>49163717.900000006</v>
      </c>
      <c r="F359" s="128">
        <f t="shared" si="133"/>
        <v>0</v>
      </c>
      <c r="G359" s="38">
        <f t="shared" si="133"/>
        <v>1618159</v>
      </c>
      <c r="H359" s="38">
        <f t="shared" si="133"/>
        <v>0</v>
      </c>
    </row>
    <row r="360" spans="1:8" s="73" customFormat="1" x14ac:dyDescent="0.25">
      <c r="A360" s="51"/>
      <c r="B360" s="51"/>
      <c r="C360" s="52" t="s">
        <v>5</v>
      </c>
      <c r="D360" s="72"/>
      <c r="E360" s="66"/>
      <c r="F360" s="129"/>
      <c r="G360" s="41"/>
      <c r="H360" s="41"/>
    </row>
    <row r="361" spans="1:8" s="75" customFormat="1" ht="14.25" x14ac:dyDescent="0.25">
      <c r="A361" s="41"/>
      <c r="B361" s="41"/>
      <c r="C361" s="74" t="s">
        <v>348</v>
      </c>
      <c r="D361" s="62">
        <f>SUM(E361:H361)</f>
        <v>23146866</v>
      </c>
      <c r="E361" s="62">
        <v>23146866</v>
      </c>
      <c r="F361" s="133">
        <v>0</v>
      </c>
      <c r="G361" s="62">
        <v>0</v>
      </c>
      <c r="H361" s="62">
        <v>0</v>
      </c>
    </row>
    <row r="362" spans="1:8" s="75" customFormat="1" ht="42.75" x14ac:dyDescent="0.25">
      <c r="A362" s="41"/>
      <c r="B362" s="41"/>
      <c r="C362" s="74" t="s">
        <v>349</v>
      </c>
      <c r="D362" s="62">
        <f>SUM(E362:H362)</f>
        <v>1250000</v>
      </c>
      <c r="E362" s="62">
        <v>0</v>
      </c>
      <c r="F362" s="133">
        <v>0</v>
      </c>
      <c r="G362" s="62">
        <f>14*25000+60*15000</f>
        <v>1250000</v>
      </c>
      <c r="H362" s="62">
        <v>0</v>
      </c>
    </row>
    <row r="363" spans="1:8" s="53" customFormat="1" ht="14.25" x14ac:dyDescent="0.25">
      <c r="A363" s="41"/>
      <c r="B363" s="41"/>
      <c r="C363" s="74" t="s">
        <v>165</v>
      </c>
      <c r="D363" s="62">
        <f>SUM(E363:H363)</f>
        <v>119543</v>
      </c>
      <c r="E363" s="62">
        <f t="shared" ref="E363:H363" si="134">SUM(E364:E368)</f>
        <v>0</v>
      </c>
      <c r="F363" s="133">
        <f t="shared" si="134"/>
        <v>0</v>
      </c>
      <c r="G363" s="62">
        <f t="shared" si="134"/>
        <v>119543</v>
      </c>
      <c r="H363" s="62">
        <f t="shared" si="134"/>
        <v>0</v>
      </c>
    </row>
    <row r="364" spans="1:8" s="78" customFormat="1" x14ac:dyDescent="0.2">
      <c r="A364" s="141"/>
      <c r="B364" s="141"/>
      <c r="C364" s="76" t="s">
        <v>350</v>
      </c>
      <c r="D364" s="77">
        <f t="shared" ref="D364:D368" si="135">+E364+F364+G364+H364</f>
        <v>22790</v>
      </c>
      <c r="E364" s="77"/>
      <c r="F364" s="135"/>
      <c r="G364" s="77">
        <f>21200+1590</f>
        <v>22790</v>
      </c>
      <c r="H364" s="77"/>
    </row>
    <row r="365" spans="1:8" s="78" customFormat="1" x14ac:dyDescent="0.2">
      <c r="A365" s="139"/>
      <c r="B365" s="139"/>
      <c r="C365" s="76" t="s">
        <v>351</v>
      </c>
      <c r="D365" s="77">
        <f t="shared" si="135"/>
        <v>17888</v>
      </c>
      <c r="E365" s="77"/>
      <c r="F365" s="135"/>
      <c r="G365" s="77">
        <f>16640+1248</f>
        <v>17888</v>
      </c>
      <c r="H365" s="77"/>
    </row>
    <row r="366" spans="1:8" s="78" customFormat="1" x14ac:dyDescent="0.2">
      <c r="A366" s="139"/>
      <c r="B366" s="139"/>
      <c r="C366" s="76" t="s">
        <v>352</v>
      </c>
      <c r="D366" s="77">
        <f t="shared" si="135"/>
        <v>28900</v>
      </c>
      <c r="E366" s="77"/>
      <c r="F366" s="135"/>
      <c r="G366" s="77">
        <f>27200+1700</f>
        <v>28900</v>
      </c>
      <c r="H366" s="77"/>
    </row>
    <row r="367" spans="1:8" s="78" customFormat="1" x14ac:dyDescent="0.2">
      <c r="A367" s="139"/>
      <c r="B367" s="139"/>
      <c r="C367" s="76" t="s">
        <v>353</v>
      </c>
      <c r="D367" s="77">
        <f t="shared" si="135"/>
        <v>29325</v>
      </c>
      <c r="E367" s="77"/>
      <c r="F367" s="135"/>
      <c r="G367" s="77">
        <f>27600+1725</f>
        <v>29325</v>
      </c>
      <c r="H367" s="77"/>
    </row>
    <row r="368" spans="1:8" s="78" customFormat="1" x14ac:dyDescent="0.2">
      <c r="A368" s="140"/>
      <c r="B368" s="140"/>
      <c r="C368" s="76" t="s">
        <v>354</v>
      </c>
      <c r="D368" s="77">
        <f t="shared" si="135"/>
        <v>20640</v>
      </c>
      <c r="E368" s="77"/>
      <c r="F368" s="135"/>
      <c r="G368" s="77">
        <f>19200+1440</f>
        <v>20640</v>
      </c>
      <c r="H368" s="77"/>
    </row>
    <row r="369" spans="1:8" s="59" customFormat="1" ht="14.25" x14ac:dyDescent="0.25">
      <c r="A369" s="64"/>
      <c r="B369" s="64"/>
      <c r="C369" s="74" t="s">
        <v>147</v>
      </c>
      <c r="D369" s="62">
        <f>SUM(E369:H369)</f>
        <v>2400000</v>
      </c>
      <c r="E369" s="62">
        <f t="shared" ref="E369:H369" si="136">SUM(E370:E375)</f>
        <v>2400000</v>
      </c>
      <c r="F369" s="133">
        <f t="shared" si="136"/>
        <v>0</v>
      </c>
      <c r="G369" s="62">
        <f t="shared" si="136"/>
        <v>0</v>
      </c>
      <c r="H369" s="62">
        <f t="shared" si="136"/>
        <v>0</v>
      </c>
    </row>
    <row r="370" spans="1:8" s="59" customFormat="1" ht="19.5" customHeight="1" x14ac:dyDescent="0.25">
      <c r="A370" s="150"/>
      <c r="B370" s="150"/>
      <c r="C370" s="79" t="s">
        <v>355</v>
      </c>
      <c r="D370" s="48">
        <f t="shared" ref="D370:D375" si="137">+E370+F370+G370+H370</f>
        <v>400000</v>
      </c>
      <c r="E370" s="48">
        <v>400000</v>
      </c>
      <c r="F370" s="131"/>
      <c r="G370" s="48"/>
      <c r="H370" s="49"/>
    </row>
    <row r="371" spans="1:8" s="59" customFormat="1" ht="27" x14ac:dyDescent="0.25">
      <c r="A371" s="151"/>
      <c r="B371" s="151"/>
      <c r="C371" s="79" t="s">
        <v>356</v>
      </c>
      <c r="D371" s="48">
        <f t="shared" si="137"/>
        <v>400000</v>
      </c>
      <c r="E371" s="48">
        <v>400000</v>
      </c>
      <c r="F371" s="131"/>
      <c r="G371" s="48"/>
      <c r="H371" s="49"/>
    </row>
    <row r="372" spans="1:8" s="59" customFormat="1" ht="33.75" customHeight="1" x14ac:dyDescent="0.25">
      <c r="A372" s="151"/>
      <c r="B372" s="151"/>
      <c r="C372" s="79" t="s">
        <v>357</v>
      </c>
      <c r="D372" s="48">
        <f t="shared" si="137"/>
        <v>400000</v>
      </c>
      <c r="E372" s="48">
        <v>400000</v>
      </c>
      <c r="F372" s="131"/>
      <c r="G372" s="48"/>
      <c r="H372" s="49"/>
    </row>
    <row r="373" spans="1:8" s="59" customFormat="1" x14ac:dyDescent="0.25">
      <c r="A373" s="151"/>
      <c r="B373" s="151"/>
      <c r="C373" s="79" t="s">
        <v>358</v>
      </c>
      <c r="D373" s="48">
        <f t="shared" si="137"/>
        <v>400000</v>
      </c>
      <c r="E373" s="48">
        <v>400000</v>
      </c>
      <c r="F373" s="131"/>
      <c r="G373" s="48"/>
      <c r="H373" s="49"/>
    </row>
    <row r="374" spans="1:8" s="59" customFormat="1" x14ac:dyDescent="0.25">
      <c r="A374" s="151"/>
      <c r="B374" s="151"/>
      <c r="C374" s="79" t="s">
        <v>359</v>
      </c>
      <c r="D374" s="48">
        <f t="shared" si="137"/>
        <v>400000</v>
      </c>
      <c r="E374" s="48">
        <v>400000</v>
      </c>
      <c r="F374" s="131"/>
      <c r="G374" s="48"/>
      <c r="H374" s="49"/>
    </row>
    <row r="375" spans="1:8" s="59" customFormat="1" ht="22.5" customHeight="1" x14ac:dyDescent="0.25">
      <c r="A375" s="151"/>
      <c r="B375" s="151"/>
      <c r="C375" s="79" t="s">
        <v>360</v>
      </c>
      <c r="D375" s="48">
        <f t="shared" si="137"/>
        <v>400000</v>
      </c>
      <c r="E375" s="48">
        <v>400000</v>
      </c>
      <c r="F375" s="131"/>
      <c r="G375" s="48"/>
      <c r="H375" s="49"/>
    </row>
    <row r="376" spans="1:8" s="59" customFormat="1" ht="14.25" x14ac:dyDescent="0.25">
      <c r="A376" s="64"/>
      <c r="B376" s="64"/>
      <c r="C376" s="74" t="s">
        <v>149</v>
      </c>
      <c r="D376" s="62">
        <f>SUM(E376:H376)</f>
        <v>2195496.1</v>
      </c>
      <c r="E376" s="62">
        <f t="shared" ref="E376:H376" si="138">SUM(E377:E382)</f>
        <v>2195496.1</v>
      </c>
      <c r="F376" s="133">
        <f t="shared" si="138"/>
        <v>0</v>
      </c>
      <c r="G376" s="62">
        <f t="shared" si="138"/>
        <v>0</v>
      </c>
      <c r="H376" s="62">
        <f t="shared" si="138"/>
        <v>0</v>
      </c>
    </row>
    <row r="377" spans="1:8" s="59" customFormat="1" x14ac:dyDescent="0.25">
      <c r="A377" s="150"/>
      <c r="B377" s="150"/>
      <c r="C377" s="79" t="s">
        <v>361</v>
      </c>
      <c r="D377" s="48">
        <f>+E377+F377+G377+H377</f>
        <v>400000</v>
      </c>
      <c r="E377" s="48">
        <v>400000</v>
      </c>
      <c r="F377" s="131"/>
      <c r="G377" s="48"/>
      <c r="H377" s="49"/>
    </row>
    <row r="378" spans="1:8" s="59" customFormat="1" x14ac:dyDescent="0.25">
      <c r="A378" s="151"/>
      <c r="B378" s="151"/>
      <c r="C378" s="79" t="s">
        <v>362</v>
      </c>
      <c r="D378" s="48">
        <f>+E378+F378+G378+H378</f>
        <v>195496.1</v>
      </c>
      <c r="E378" s="48">
        <v>195496.1</v>
      </c>
      <c r="F378" s="131"/>
      <c r="G378" s="48"/>
      <c r="H378" s="49"/>
    </row>
    <row r="379" spans="1:8" s="59" customFormat="1" x14ac:dyDescent="0.25">
      <c r="A379" s="151"/>
      <c r="B379" s="151"/>
      <c r="C379" s="79" t="s">
        <v>363</v>
      </c>
      <c r="D379" s="48">
        <f t="shared" ref="D379:D382" si="139">+E379+F379+G379+H379</f>
        <v>400000</v>
      </c>
      <c r="E379" s="48">
        <v>400000</v>
      </c>
      <c r="F379" s="131"/>
      <c r="G379" s="48"/>
      <c r="H379" s="49"/>
    </row>
    <row r="380" spans="1:8" s="59" customFormat="1" x14ac:dyDescent="0.25">
      <c r="A380" s="151"/>
      <c r="B380" s="151"/>
      <c r="C380" s="79" t="s">
        <v>364</v>
      </c>
      <c r="D380" s="48">
        <f t="shared" si="139"/>
        <v>400000</v>
      </c>
      <c r="E380" s="48">
        <v>400000</v>
      </c>
      <c r="F380" s="131"/>
      <c r="G380" s="48"/>
      <c r="H380" s="49"/>
    </row>
    <row r="381" spans="1:8" s="59" customFormat="1" x14ac:dyDescent="0.25">
      <c r="A381" s="151"/>
      <c r="B381" s="151"/>
      <c r="C381" s="79" t="s">
        <v>365</v>
      </c>
      <c r="D381" s="48">
        <f t="shared" si="139"/>
        <v>400000</v>
      </c>
      <c r="E381" s="48">
        <v>400000</v>
      </c>
      <c r="F381" s="131"/>
      <c r="G381" s="48"/>
      <c r="H381" s="49"/>
    </row>
    <row r="382" spans="1:8" s="59" customFormat="1" x14ac:dyDescent="0.25">
      <c r="A382" s="151"/>
      <c r="B382" s="151"/>
      <c r="C382" s="79" t="s">
        <v>366</v>
      </c>
      <c r="D382" s="48">
        <f t="shared" si="139"/>
        <v>400000</v>
      </c>
      <c r="E382" s="48">
        <v>400000</v>
      </c>
      <c r="F382" s="131"/>
      <c r="G382" s="48"/>
      <c r="H382" s="49"/>
    </row>
    <row r="383" spans="1:8" s="59" customFormat="1" ht="14.25" x14ac:dyDescent="0.25">
      <c r="A383" s="64"/>
      <c r="B383" s="64"/>
      <c r="C383" s="74" t="s">
        <v>152</v>
      </c>
      <c r="D383" s="62">
        <f>SUM(E383:H383)</f>
        <v>3376505</v>
      </c>
      <c r="E383" s="62">
        <f t="shared" ref="E383:H383" si="140">SUM(E384:E398)</f>
        <v>3200000</v>
      </c>
      <c r="F383" s="133">
        <f t="shared" si="140"/>
        <v>0</v>
      </c>
      <c r="G383" s="62">
        <f t="shared" si="140"/>
        <v>176505</v>
      </c>
      <c r="H383" s="62">
        <f t="shared" si="140"/>
        <v>0</v>
      </c>
    </row>
    <row r="384" spans="1:8" s="59" customFormat="1" x14ac:dyDescent="0.25">
      <c r="A384" s="141"/>
      <c r="B384" s="141"/>
      <c r="C384" s="79" t="s">
        <v>367</v>
      </c>
      <c r="D384" s="48">
        <f t="shared" ref="D384:D398" si="141">+E384+F384+G384+H384</f>
        <v>400000</v>
      </c>
      <c r="E384" s="48">
        <v>400000</v>
      </c>
      <c r="F384" s="131"/>
      <c r="G384" s="48"/>
      <c r="H384" s="49"/>
    </row>
    <row r="385" spans="1:8" s="59" customFormat="1" x14ac:dyDescent="0.25">
      <c r="A385" s="139"/>
      <c r="B385" s="139"/>
      <c r="C385" s="79" t="s">
        <v>368</v>
      </c>
      <c r="D385" s="48">
        <f t="shared" si="141"/>
        <v>400000</v>
      </c>
      <c r="E385" s="48">
        <v>400000</v>
      </c>
      <c r="F385" s="131"/>
      <c r="G385" s="48"/>
      <c r="H385" s="49"/>
    </row>
    <row r="386" spans="1:8" s="59" customFormat="1" x14ac:dyDescent="0.25">
      <c r="A386" s="139"/>
      <c r="B386" s="139"/>
      <c r="C386" s="79" t="s">
        <v>369</v>
      </c>
      <c r="D386" s="48">
        <f t="shared" si="141"/>
        <v>400000</v>
      </c>
      <c r="E386" s="48">
        <v>400000</v>
      </c>
      <c r="F386" s="131"/>
      <c r="G386" s="48"/>
      <c r="H386" s="49"/>
    </row>
    <row r="387" spans="1:8" s="59" customFormat="1" x14ac:dyDescent="0.25">
      <c r="A387" s="139"/>
      <c r="B387" s="139"/>
      <c r="C387" s="79" t="s">
        <v>370</v>
      </c>
      <c r="D387" s="48">
        <f t="shared" si="141"/>
        <v>400000</v>
      </c>
      <c r="E387" s="48">
        <v>400000</v>
      </c>
      <c r="F387" s="131"/>
      <c r="G387" s="48"/>
      <c r="H387" s="49"/>
    </row>
    <row r="388" spans="1:8" s="59" customFormat="1" x14ac:dyDescent="0.25">
      <c r="A388" s="139"/>
      <c r="B388" s="139"/>
      <c r="C388" s="79" t="s">
        <v>371</v>
      </c>
      <c r="D388" s="48">
        <f t="shared" si="141"/>
        <v>400000</v>
      </c>
      <c r="E388" s="48">
        <v>400000</v>
      </c>
      <c r="F388" s="131"/>
      <c r="G388" s="48"/>
      <c r="H388" s="49"/>
    </row>
    <row r="389" spans="1:8" s="59" customFormat="1" x14ac:dyDescent="0.25">
      <c r="A389" s="139"/>
      <c r="B389" s="139"/>
      <c r="C389" s="79" t="s">
        <v>372</v>
      </c>
      <c r="D389" s="48">
        <f t="shared" si="141"/>
        <v>400000</v>
      </c>
      <c r="E389" s="48">
        <v>400000</v>
      </c>
      <c r="F389" s="131"/>
      <c r="G389" s="48"/>
      <c r="H389" s="49"/>
    </row>
    <row r="390" spans="1:8" s="59" customFormat="1" x14ac:dyDescent="0.25">
      <c r="A390" s="139"/>
      <c r="B390" s="139"/>
      <c r="C390" s="79" t="s">
        <v>373</v>
      </c>
      <c r="D390" s="48">
        <f t="shared" si="141"/>
        <v>400000</v>
      </c>
      <c r="E390" s="48">
        <v>400000</v>
      </c>
      <c r="F390" s="131"/>
      <c r="G390" s="48"/>
      <c r="H390" s="49"/>
    </row>
    <row r="391" spans="1:8" s="59" customFormat="1" ht="16.149999999999999" customHeight="1" x14ac:dyDescent="0.25">
      <c r="A391" s="139"/>
      <c r="B391" s="139"/>
      <c r="C391" s="79" t="s">
        <v>374</v>
      </c>
      <c r="D391" s="48">
        <f t="shared" si="141"/>
        <v>400000</v>
      </c>
      <c r="E391" s="48">
        <v>400000</v>
      </c>
      <c r="F391" s="131"/>
      <c r="G391" s="48"/>
      <c r="H391" s="49"/>
    </row>
    <row r="392" spans="1:8" s="78" customFormat="1" x14ac:dyDescent="0.2">
      <c r="A392" s="139"/>
      <c r="B392" s="139"/>
      <c r="C392" s="76" t="s">
        <v>375</v>
      </c>
      <c r="D392" s="77">
        <f t="shared" si="141"/>
        <v>32640</v>
      </c>
      <c r="E392" s="77"/>
      <c r="F392" s="135"/>
      <c r="G392" s="77">
        <f>30720+1920</f>
        <v>32640</v>
      </c>
      <c r="H392" s="77"/>
    </row>
    <row r="393" spans="1:8" s="78" customFormat="1" x14ac:dyDescent="0.2">
      <c r="A393" s="139"/>
      <c r="B393" s="139"/>
      <c r="C393" s="76" t="s">
        <v>376</v>
      </c>
      <c r="D393" s="77">
        <f t="shared" si="141"/>
        <v>28815</v>
      </c>
      <c r="E393" s="77"/>
      <c r="F393" s="135"/>
      <c r="G393" s="77">
        <f>27120+1695</f>
        <v>28815</v>
      </c>
      <c r="H393" s="77"/>
    </row>
    <row r="394" spans="1:8" s="78" customFormat="1" x14ac:dyDescent="0.2">
      <c r="A394" s="139"/>
      <c r="B394" s="139"/>
      <c r="C394" s="76" t="s">
        <v>377</v>
      </c>
      <c r="D394" s="77">
        <f t="shared" si="141"/>
        <v>20640</v>
      </c>
      <c r="E394" s="77"/>
      <c r="F394" s="135"/>
      <c r="G394" s="77">
        <f>19200+1440</f>
        <v>20640</v>
      </c>
      <c r="H394" s="77"/>
    </row>
    <row r="395" spans="1:8" s="78" customFormat="1" x14ac:dyDescent="0.2">
      <c r="A395" s="139"/>
      <c r="B395" s="139"/>
      <c r="C395" s="76" t="s">
        <v>378</v>
      </c>
      <c r="D395" s="77">
        <f t="shared" si="141"/>
        <v>32232</v>
      </c>
      <c r="E395" s="77"/>
      <c r="F395" s="135"/>
      <c r="G395" s="77">
        <f>30336+1896</f>
        <v>32232</v>
      </c>
      <c r="H395" s="77"/>
    </row>
    <row r="396" spans="1:8" s="78" customFormat="1" x14ac:dyDescent="0.2">
      <c r="A396" s="139"/>
      <c r="B396" s="139"/>
      <c r="C396" s="76" t="s">
        <v>379</v>
      </c>
      <c r="D396" s="77">
        <f t="shared" si="141"/>
        <v>19350</v>
      </c>
      <c r="E396" s="77"/>
      <c r="F396" s="135"/>
      <c r="G396" s="77">
        <f>18000+1350</f>
        <v>19350</v>
      </c>
      <c r="H396" s="77"/>
    </row>
    <row r="397" spans="1:8" s="78" customFormat="1" x14ac:dyDescent="0.2">
      <c r="A397" s="139"/>
      <c r="B397" s="139"/>
      <c r="C397" s="76" t="s">
        <v>380</v>
      </c>
      <c r="D397" s="77">
        <f t="shared" si="141"/>
        <v>22188</v>
      </c>
      <c r="E397" s="77"/>
      <c r="F397" s="135"/>
      <c r="G397" s="77">
        <f>20640+1548</f>
        <v>22188</v>
      </c>
      <c r="H397" s="77"/>
    </row>
    <row r="398" spans="1:8" s="78" customFormat="1" x14ac:dyDescent="0.2">
      <c r="A398" s="140"/>
      <c r="B398" s="140"/>
      <c r="C398" s="76" t="s">
        <v>381</v>
      </c>
      <c r="D398" s="77">
        <f t="shared" si="141"/>
        <v>20640</v>
      </c>
      <c r="E398" s="77"/>
      <c r="F398" s="135"/>
      <c r="G398" s="77">
        <f>19200+1440</f>
        <v>20640</v>
      </c>
      <c r="H398" s="77"/>
    </row>
    <row r="399" spans="1:8" s="59" customFormat="1" ht="14.25" x14ac:dyDescent="0.25">
      <c r="A399" s="64"/>
      <c r="B399" s="64"/>
      <c r="C399" s="74" t="s">
        <v>185</v>
      </c>
      <c r="D399" s="62">
        <f>SUM(E399:H399)</f>
        <v>1197481.3</v>
      </c>
      <c r="E399" s="62">
        <f t="shared" ref="E399:H399" si="142">SUM(E400:E404)</f>
        <v>1156786.3</v>
      </c>
      <c r="F399" s="133">
        <f t="shared" si="142"/>
        <v>0</v>
      </c>
      <c r="G399" s="62">
        <f t="shared" si="142"/>
        <v>40695</v>
      </c>
      <c r="H399" s="62">
        <f t="shared" si="142"/>
        <v>0</v>
      </c>
    </row>
    <row r="400" spans="1:8" s="59" customFormat="1" ht="17.45" customHeight="1" x14ac:dyDescent="0.25">
      <c r="A400" s="150"/>
      <c r="B400" s="150"/>
      <c r="C400" s="79" t="s">
        <v>382</v>
      </c>
      <c r="D400" s="48">
        <f>+E400+F400+G400+H400</f>
        <v>356786.3</v>
      </c>
      <c r="E400" s="48">
        <v>356786.3</v>
      </c>
      <c r="F400" s="131"/>
      <c r="G400" s="48"/>
      <c r="H400" s="49"/>
    </row>
    <row r="401" spans="1:8" s="59" customFormat="1" x14ac:dyDescent="0.25">
      <c r="A401" s="151"/>
      <c r="B401" s="151"/>
      <c r="C401" s="79" t="s">
        <v>383</v>
      </c>
      <c r="D401" s="48">
        <f t="shared" ref="D401:D402" si="143">+E401+F401+G401+H401</f>
        <v>400000</v>
      </c>
      <c r="E401" s="48">
        <v>400000</v>
      </c>
      <c r="F401" s="131"/>
      <c r="G401" s="48"/>
      <c r="H401" s="49"/>
    </row>
    <row r="402" spans="1:8" s="59" customFormat="1" x14ac:dyDescent="0.25">
      <c r="A402" s="151"/>
      <c r="B402" s="151"/>
      <c r="C402" s="79" t="s">
        <v>384</v>
      </c>
      <c r="D402" s="48">
        <f t="shared" si="143"/>
        <v>400000</v>
      </c>
      <c r="E402" s="48">
        <v>400000</v>
      </c>
      <c r="F402" s="131"/>
      <c r="G402" s="48"/>
      <c r="H402" s="49"/>
    </row>
    <row r="403" spans="1:8" s="78" customFormat="1" x14ac:dyDescent="0.2">
      <c r="A403" s="151"/>
      <c r="B403" s="151"/>
      <c r="C403" s="76" t="s">
        <v>385</v>
      </c>
      <c r="D403" s="77">
        <f>+E403+F403+G403+H403</f>
        <v>24252</v>
      </c>
      <c r="E403" s="77"/>
      <c r="F403" s="135"/>
      <c r="G403" s="77">
        <f>22560+1692</f>
        <v>24252</v>
      </c>
      <c r="H403" s="77"/>
    </row>
    <row r="404" spans="1:8" s="78" customFormat="1" ht="24" customHeight="1" x14ac:dyDescent="0.2">
      <c r="A404" s="152"/>
      <c r="B404" s="152"/>
      <c r="C404" s="76" t="s">
        <v>386</v>
      </c>
      <c r="D404" s="77">
        <f>+E404+F404+G404+H404</f>
        <v>16443</v>
      </c>
      <c r="E404" s="77"/>
      <c r="F404" s="135"/>
      <c r="G404" s="77">
        <f>15120+1323</f>
        <v>16443</v>
      </c>
      <c r="H404" s="77"/>
    </row>
    <row r="405" spans="1:8" s="59" customFormat="1" ht="14.25" x14ac:dyDescent="0.25">
      <c r="A405" s="64"/>
      <c r="B405" s="64"/>
      <c r="C405" s="74" t="s">
        <v>157</v>
      </c>
      <c r="D405" s="62">
        <f>SUM(E405:H405)</f>
        <v>3231416</v>
      </c>
      <c r="E405" s="62">
        <f t="shared" ref="E405:H405" si="144">SUM(E406:E414)</f>
        <v>3200000</v>
      </c>
      <c r="F405" s="133">
        <f t="shared" si="144"/>
        <v>0</v>
      </c>
      <c r="G405" s="62">
        <f t="shared" si="144"/>
        <v>31416</v>
      </c>
      <c r="H405" s="62">
        <f t="shared" si="144"/>
        <v>0</v>
      </c>
    </row>
    <row r="406" spans="1:8" s="59" customFormat="1" x14ac:dyDescent="0.25">
      <c r="A406" s="141"/>
      <c r="B406" s="141"/>
      <c r="C406" s="79" t="s">
        <v>387</v>
      </c>
      <c r="D406" s="48">
        <f t="shared" ref="D406:D414" si="145">+E406+F406+G406+H406</f>
        <v>400000</v>
      </c>
      <c r="E406" s="48">
        <v>400000</v>
      </c>
      <c r="F406" s="131"/>
      <c r="G406" s="48"/>
      <c r="H406" s="49"/>
    </row>
    <row r="407" spans="1:8" s="59" customFormat="1" x14ac:dyDescent="0.25">
      <c r="A407" s="139"/>
      <c r="B407" s="139"/>
      <c r="C407" s="79" t="s">
        <v>388</v>
      </c>
      <c r="D407" s="48">
        <f t="shared" si="145"/>
        <v>400000</v>
      </c>
      <c r="E407" s="48">
        <v>400000</v>
      </c>
      <c r="F407" s="131"/>
      <c r="G407" s="48"/>
      <c r="H407" s="49"/>
    </row>
    <row r="408" spans="1:8" s="59" customFormat="1" ht="27" x14ac:dyDescent="0.25">
      <c r="A408" s="139"/>
      <c r="B408" s="139"/>
      <c r="C408" s="79" t="s">
        <v>389</v>
      </c>
      <c r="D408" s="48">
        <f t="shared" si="145"/>
        <v>400000</v>
      </c>
      <c r="E408" s="48">
        <v>400000</v>
      </c>
      <c r="F408" s="131"/>
      <c r="G408" s="48"/>
      <c r="H408" s="49"/>
    </row>
    <row r="409" spans="1:8" s="59" customFormat="1" x14ac:dyDescent="0.25">
      <c r="A409" s="139"/>
      <c r="B409" s="139"/>
      <c r="C409" s="79" t="s">
        <v>390</v>
      </c>
      <c r="D409" s="48">
        <f t="shared" si="145"/>
        <v>400000</v>
      </c>
      <c r="E409" s="48">
        <v>400000</v>
      </c>
      <c r="F409" s="131"/>
      <c r="G409" s="48"/>
      <c r="H409" s="49"/>
    </row>
    <row r="410" spans="1:8" s="59" customFormat="1" x14ac:dyDescent="0.25">
      <c r="A410" s="139"/>
      <c r="B410" s="139"/>
      <c r="C410" s="79" t="s">
        <v>391</v>
      </c>
      <c r="D410" s="48">
        <f t="shared" si="145"/>
        <v>400000</v>
      </c>
      <c r="E410" s="48">
        <v>400000</v>
      </c>
      <c r="F410" s="131"/>
      <c r="G410" s="48"/>
      <c r="H410" s="49"/>
    </row>
    <row r="411" spans="1:8" s="59" customFormat="1" x14ac:dyDescent="0.25">
      <c r="A411" s="139"/>
      <c r="B411" s="139"/>
      <c r="C411" s="79" t="s">
        <v>392</v>
      </c>
      <c r="D411" s="48">
        <f t="shared" si="145"/>
        <v>400000</v>
      </c>
      <c r="E411" s="48">
        <v>400000</v>
      </c>
      <c r="F411" s="131"/>
      <c r="G411" s="48"/>
      <c r="H411" s="49"/>
    </row>
    <row r="412" spans="1:8" s="59" customFormat="1" x14ac:dyDescent="0.25">
      <c r="A412" s="139"/>
      <c r="B412" s="139"/>
      <c r="C412" s="79" t="s">
        <v>393</v>
      </c>
      <c r="D412" s="48">
        <f t="shared" si="145"/>
        <v>400000</v>
      </c>
      <c r="E412" s="48">
        <v>400000</v>
      </c>
      <c r="F412" s="131"/>
      <c r="G412" s="48"/>
      <c r="H412" s="49"/>
    </row>
    <row r="413" spans="1:8" s="59" customFormat="1" x14ac:dyDescent="0.25">
      <c r="A413" s="139"/>
      <c r="B413" s="139"/>
      <c r="C413" s="79" t="s">
        <v>394</v>
      </c>
      <c r="D413" s="48">
        <f t="shared" si="145"/>
        <v>400000</v>
      </c>
      <c r="E413" s="48">
        <v>400000</v>
      </c>
      <c r="F413" s="131"/>
      <c r="G413" s="48"/>
      <c r="H413" s="49"/>
    </row>
    <row r="414" spans="1:8" s="78" customFormat="1" x14ac:dyDescent="0.2">
      <c r="A414" s="140"/>
      <c r="B414" s="140"/>
      <c r="C414" s="76" t="s">
        <v>395</v>
      </c>
      <c r="D414" s="77">
        <f t="shared" si="145"/>
        <v>31416</v>
      </c>
      <c r="E414" s="77"/>
      <c r="F414" s="135"/>
      <c r="G414" s="77">
        <f>29568+1848</f>
        <v>31416</v>
      </c>
      <c r="H414" s="77"/>
    </row>
    <row r="415" spans="1:8" s="59" customFormat="1" ht="14.25" x14ac:dyDescent="0.25">
      <c r="A415" s="64"/>
      <c r="B415" s="64"/>
      <c r="C415" s="74" t="s">
        <v>154</v>
      </c>
      <c r="D415" s="62">
        <f>SUM(E415:H415)</f>
        <v>3200000</v>
      </c>
      <c r="E415" s="62">
        <f t="shared" ref="E415:H415" si="146">SUM(E416:E423)</f>
        <v>3200000</v>
      </c>
      <c r="F415" s="133">
        <f t="shared" si="146"/>
        <v>0</v>
      </c>
      <c r="G415" s="62">
        <f t="shared" si="146"/>
        <v>0</v>
      </c>
      <c r="H415" s="62">
        <f t="shared" si="146"/>
        <v>0</v>
      </c>
    </row>
    <row r="416" spans="1:8" s="59" customFormat="1" x14ac:dyDescent="0.25">
      <c r="A416" s="139"/>
      <c r="B416" s="139"/>
      <c r="C416" s="79" t="s">
        <v>396</v>
      </c>
      <c r="D416" s="48">
        <f t="shared" ref="D416:D430" si="147">+E416+F416+G416+H416</f>
        <v>400000</v>
      </c>
      <c r="E416" s="48">
        <v>400000</v>
      </c>
      <c r="F416" s="131"/>
      <c r="G416" s="48"/>
      <c r="H416" s="49"/>
    </row>
    <row r="417" spans="1:8" s="59" customFormat="1" x14ac:dyDescent="0.25">
      <c r="A417" s="139"/>
      <c r="B417" s="139"/>
      <c r="C417" s="79" t="s">
        <v>397</v>
      </c>
      <c r="D417" s="48">
        <f t="shared" si="147"/>
        <v>400000</v>
      </c>
      <c r="E417" s="48">
        <v>400000</v>
      </c>
      <c r="F417" s="131"/>
      <c r="G417" s="48"/>
      <c r="H417" s="49"/>
    </row>
    <row r="418" spans="1:8" s="59" customFormat="1" x14ac:dyDescent="0.25">
      <c r="A418" s="139"/>
      <c r="B418" s="139"/>
      <c r="C418" s="79" t="s">
        <v>398</v>
      </c>
      <c r="D418" s="48">
        <f t="shared" si="147"/>
        <v>400000</v>
      </c>
      <c r="E418" s="48">
        <v>400000</v>
      </c>
      <c r="F418" s="131"/>
      <c r="G418" s="48"/>
      <c r="H418" s="49"/>
    </row>
    <row r="419" spans="1:8" s="59" customFormat="1" x14ac:dyDescent="0.25">
      <c r="A419" s="139"/>
      <c r="B419" s="139"/>
      <c r="C419" s="79" t="s">
        <v>399</v>
      </c>
      <c r="D419" s="48">
        <f t="shared" si="147"/>
        <v>400000</v>
      </c>
      <c r="E419" s="48">
        <v>400000</v>
      </c>
      <c r="F419" s="131"/>
      <c r="G419" s="48"/>
      <c r="H419" s="49"/>
    </row>
    <row r="420" spans="1:8" s="59" customFormat="1" x14ac:dyDescent="0.25">
      <c r="A420" s="139"/>
      <c r="B420" s="139"/>
      <c r="C420" s="79" t="s">
        <v>400</v>
      </c>
      <c r="D420" s="48">
        <f t="shared" si="147"/>
        <v>400000</v>
      </c>
      <c r="E420" s="48">
        <v>400000</v>
      </c>
      <c r="F420" s="131"/>
      <c r="G420" s="48"/>
      <c r="H420" s="49"/>
    </row>
    <row r="421" spans="1:8" s="59" customFormat="1" ht="19.5" customHeight="1" x14ac:dyDescent="0.25">
      <c r="A421" s="139"/>
      <c r="B421" s="139"/>
      <c r="C421" s="79" t="s">
        <v>401</v>
      </c>
      <c r="D421" s="48">
        <f t="shared" si="147"/>
        <v>400000</v>
      </c>
      <c r="E421" s="48">
        <v>400000</v>
      </c>
      <c r="F421" s="131"/>
      <c r="G421" s="48"/>
      <c r="H421" s="49"/>
    </row>
    <row r="422" spans="1:8" s="59" customFormat="1" ht="24.75" customHeight="1" x14ac:dyDescent="0.25">
      <c r="A422" s="139"/>
      <c r="B422" s="139"/>
      <c r="C422" s="79" t="s">
        <v>402</v>
      </c>
      <c r="D422" s="48">
        <f t="shared" si="147"/>
        <v>400000</v>
      </c>
      <c r="E422" s="48">
        <v>400000</v>
      </c>
      <c r="F422" s="131"/>
      <c r="G422" s="48"/>
      <c r="H422" s="49"/>
    </row>
    <row r="423" spans="1:8" s="59" customFormat="1" x14ac:dyDescent="0.25">
      <c r="A423" s="139"/>
      <c r="B423" s="139"/>
      <c r="C423" s="79" t="s">
        <v>403</v>
      </c>
      <c r="D423" s="48">
        <f t="shared" si="147"/>
        <v>400000</v>
      </c>
      <c r="E423" s="48">
        <v>400000</v>
      </c>
      <c r="F423" s="131"/>
      <c r="G423" s="48"/>
      <c r="H423" s="49"/>
    </row>
    <row r="424" spans="1:8" s="53" customFormat="1" ht="14.25" x14ac:dyDescent="0.25">
      <c r="A424" s="41"/>
      <c r="B424" s="41"/>
      <c r="C424" s="74" t="s">
        <v>159</v>
      </c>
      <c r="D424" s="45">
        <f>SUM(E424:H424)</f>
        <v>2601977.2000000002</v>
      </c>
      <c r="E424" s="45">
        <f t="shared" ref="E424:H424" si="148">SUM(E425:E431)</f>
        <v>2601977.2000000002</v>
      </c>
      <c r="F424" s="130">
        <f t="shared" si="148"/>
        <v>0</v>
      </c>
      <c r="G424" s="45">
        <f t="shared" si="148"/>
        <v>0</v>
      </c>
      <c r="H424" s="45">
        <f t="shared" si="148"/>
        <v>0</v>
      </c>
    </row>
    <row r="425" spans="1:8" s="59" customFormat="1" x14ac:dyDescent="0.25">
      <c r="A425" s="150"/>
      <c r="B425" s="150"/>
      <c r="C425" s="79" t="s">
        <v>404</v>
      </c>
      <c r="D425" s="48">
        <f>+E425+F425+G425+H425</f>
        <v>400000</v>
      </c>
      <c r="E425" s="48">
        <v>400000</v>
      </c>
      <c r="F425" s="131"/>
      <c r="G425" s="48"/>
      <c r="H425" s="49"/>
    </row>
    <row r="426" spans="1:8" s="59" customFormat="1" x14ac:dyDescent="0.25">
      <c r="A426" s="151"/>
      <c r="B426" s="151"/>
      <c r="C426" s="79" t="s">
        <v>405</v>
      </c>
      <c r="D426" s="48">
        <f>+E426+F426+G426+H426</f>
        <v>400000</v>
      </c>
      <c r="E426" s="48">
        <v>400000</v>
      </c>
      <c r="F426" s="131"/>
      <c r="G426" s="48"/>
      <c r="H426" s="49"/>
    </row>
    <row r="427" spans="1:8" s="59" customFormat="1" x14ac:dyDescent="0.25">
      <c r="A427" s="151"/>
      <c r="B427" s="151"/>
      <c r="C427" s="79" t="s">
        <v>406</v>
      </c>
      <c r="D427" s="48">
        <f t="shared" si="147"/>
        <v>400000</v>
      </c>
      <c r="E427" s="48">
        <v>400000</v>
      </c>
      <c r="F427" s="131"/>
      <c r="G427" s="48"/>
      <c r="H427" s="49"/>
    </row>
    <row r="428" spans="1:8" s="59" customFormat="1" x14ac:dyDescent="0.25">
      <c r="A428" s="151"/>
      <c r="B428" s="151"/>
      <c r="C428" s="79" t="s">
        <v>407</v>
      </c>
      <c r="D428" s="48">
        <f t="shared" si="147"/>
        <v>400000</v>
      </c>
      <c r="E428" s="48">
        <v>400000</v>
      </c>
      <c r="F428" s="131"/>
      <c r="G428" s="48"/>
      <c r="H428" s="49"/>
    </row>
    <row r="429" spans="1:8" s="59" customFormat="1" x14ac:dyDescent="0.25">
      <c r="A429" s="151"/>
      <c r="B429" s="151"/>
      <c r="C429" s="79" t="s">
        <v>408</v>
      </c>
      <c r="D429" s="48">
        <f t="shared" si="147"/>
        <v>400000</v>
      </c>
      <c r="E429" s="48">
        <v>400000</v>
      </c>
      <c r="F429" s="131"/>
      <c r="G429" s="48"/>
      <c r="H429" s="49"/>
    </row>
    <row r="430" spans="1:8" s="59" customFormat="1" x14ac:dyDescent="0.25">
      <c r="A430" s="151"/>
      <c r="B430" s="151"/>
      <c r="C430" s="79" t="s">
        <v>409</v>
      </c>
      <c r="D430" s="48">
        <f t="shared" si="147"/>
        <v>400000</v>
      </c>
      <c r="E430" s="48">
        <v>400000</v>
      </c>
      <c r="F430" s="131"/>
      <c r="G430" s="48"/>
      <c r="H430" s="49"/>
    </row>
    <row r="431" spans="1:8" s="59" customFormat="1" ht="20.25" customHeight="1" x14ac:dyDescent="0.25">
      <c r="A431" s="151"/>
      <c r="B431" s="151"/>
      <c r="C431" s="79" t="s">
        <v>410</v>
      </c>
      <c r="D431" s="48">
        <f>+E431+F431+G431+H431</f>
        <v>201977.2</v>
      </c>
      <c r="E431" s="48">
        <v>201977.2</v>
      </c>
      <c r="F431" s="131"/>
      <c r="G431" s="48"/>
      <c r="H431" s="49"/>
    </row>
    <row r="432" spans="1:8" s="53" customFormat="1" ht="14.25" x14ac:dyDescent="0.25">
      <c r="A432" s="41"/>
      <c r="B432" s="41"/>
      <c r="C432" s="74" t="s">
        <v>161</v>
      </c>
      <c r="D432" s="45">
        <f>SUM(E432:H432)</f>
        <v>5200000</v>
      </c>
      <c r="E432" s="45">
        <f t="shared" ref="E432:H432" si="149">SUM(E433:E445)</f>
        <v>5200000</v>
      </c>
      <c r="F432" s="130">
        <f t="shared" si="149"/>
        <v>0</v>
      </c>
      <c r="G432" s="45">
        <f t="shared" si="149"/>
        <v>0</v>
      </c>
      <c r="H432" s="45">
        <f t="shared" si="149"/>
        <v>0</v>
      </c>
    </row>
    <row r="433" spans="1:8" s="59" customFormat="1" x14ac:dyDescent="0.25">
      <c r="A433" s="141"/>
      <c r="B433" s="141"/>
      <c r="C433" s="79" t="s">
        <v>411</v>
      </c>
      <c r="D433" s="48">
        <f>+E433+F433+G433+H433</f>
        <v>400000</v>
      </c>
      <c r="E433" s="48">
        <v>400000</v>
      </c>
      <c r="F433" s="131"/>
      <c r="G433" s="48"/>
      <c r="H433" s="49"/>
    </row>
    <row r="434" spans="1:8" s="59" customFormat="1" x14ac:dyDescent="0.25">
      <c r="A434" s="139"/>
      <c r="B434" s="139"/>
      <c r="C434" s="79" t="s">
        <v>412</v>
      </c>
      <c r="D434" s="48">
        <f t="shared" ref="D434:D445" si="150">+E434+F434+G434+H434</f>
        <v>400000</v>
      </c>
      <c r="E434" s="48">
        <v>400000</v>
      </c>
      <c r="F434" s="131"/>
      <c r="G434" s="48"/>
      <c r="H434" s="49"/>
    </row>
    <row r="435" spans="1:8" s="59" customFormat="1" x14ac:dyDescent="0.25">
      <c r="A435" s="139"/>
      <c r="B435" s="139"/>
      <c r="C435" s="79" t="s">
        <v>413</v>
      </c>
      <c r="D435" s="48">
        <f t="shared" si="150"/>
        <v>400000</v>
      </c>
      <c r="E435" s="48">
        <v>400000</v>
      </c>
      <c r="F435" s="131"/>
      <c r="G435" s="48"/>
      <c r="H435" s="49"/>
    </row>
    <row r="436" spans="1:8" s="59" customFormat="1" x14ac:dyDescent="0.25">
      <c r="A436" s="139"/>
      <c r="B436" s="139"/>
      <c r="C436" s="79" t="s">
        <v>414</v>
      </c>
      <c r="D436" s="48">
        <f t="shared" si="150"/>
        <v>400000</v>
      </c>
      <c r="E436" s="48">
        <v>400000</v>
      </c>
      <c r="F436" s="131"/>
      <c r="G436" s="48"/>
      <c r="H436" s="49"/>
    </row>
    <row r="437" spans="1:8" s="59" customFormat="1" x14ac:dyDescent="0.25">
      <c r="A437" s="139"/>
      <c r="B437" s="139"/>
      <c r="C437" s="79" t="s">
        <v>415</v>
      </c>
      <c r="D437" s="48">
        <f t="shared" si="150"/>
        <v>400000</v>
      </c>
      <c r="E437" s="48">
        <v>400000</v>
      </c>
      <c r="F437" s="131"/>
      <c r="G437" s="48"/>
      <c r="H437" s="49"/>
    </row>
    <row r="438" spans="1:8" s="59" customFormat="1" x14ac:dyDescent="0.25">
      <c r="A438" s="139"/>
      <c r="B438" s="139"/>
      <c r="C438" s="79" t="s">
        <v>416</v>
      </c>
      <c r="D438" s="48">
        <f t="shared" si="150"/>
        <v>400000</v>
      </c>
      <c r="E438" s="48">
        <v>400000</v>
      </c>
      <c r="F438" s="131"/>
      <c r="G438" s="48"/>
      <c r="H438" s="49"/>
    </row>
    <row r="439" spans="1:8" s="59" customFormat="1" ht="17.649999999999999" customHeight="1" x14ac:dyDescent="0.25">
      <c r="A439" s="139"/>
      <c r="B439" s="139"/>
      <c r="C439" s="79" t="s">
        <v>417</v>
      </c>
      <c r="D439" s="48">
        <f t="shared" si="150"/>
        <v>400000</v>
      </c>
      <c r="E439" s="48">
        <v>400000</v>
      </c>
      <c r="F439" s="131"/>
      <c r="G439" s="48"/>
      <c r="H439" s="49"/>
    </row>
    <row r="440" spans="1:8" s="59" customFormat="1" x14ac:dyDescent="0.25">
      <c r="A440" s="139"/>
      <c r="B440" s="139"/>
      <c r="C440" s="79" t="s">
        <v>418</v>
      </c>
      <c r="D440" s="48">
        <f t="shared" si="150"/>
        <v>400000</v>
      </c>
      <c r="E440" s="48">
        <v>400000</v>
      </c>
      <c r="F440" s="131"/>
      <c r="G440" s="48"/>
      <c r="H440" s="49"/>
    </row>
    <row r="441" spans="1:8" s="59" customFormat="1" x14ac:dyDescent="0.25">
      <c r="A441" s="139"/>
      <c r="B441" s="139"/>
      <c r="C441" s="79" t="s">
        <v>419</v>
      </c>
      <c r="D441" s="48">
        <f t="shared" si="150"/>
        <v>400000</v>
      </c>
      <c r="E441" s="48">
        <v>400000</v>
      </c>
      <c r="F441" s="131"/>
      <c r="G441" s="48"/>
      <c r="H441" s="49"/>
    </row>
    <row r="442" spans="1:8" s="59" customFormat="1" x14ac:dyDescent="0.25">
      <c r="A442" s="139"/>
      <c r="B442" s="139"/>
      <c r="C442" s="79" t="s">
        <v>420</v>
      </c>
      <c r="D442" s="48">
        <f t="shared" si="150"/>
        <v>400000</v>
      </c>
      <c r="E442" s="48">
        <v>400000</v>
      </c>
      <c r="F442" s="131"/>
      <c r="G442" s="48"/>
      <c r="H442" s="49"/>
    </row>
    <row r="443" spans="1:8" s="59" customFormat="1" x14ac:dyDescent="0.25">
      <c r="A443" s="139"/>
      <c r="B443" s="139"/>
      <c r="C443" s="47" t="s">
        <v>421</v>
      </c>
      <c r="D443" s="48">
        <f t="shared" si="150"/>
        <v>400000</v>
      </c>
      <c r="E443" s="48">
        <v>400000</v>
      </c>
      <c r="F443" s="131"/>
      <c r="G443" s="48"/>
      <c r="H443" s="49"/>
    </row>
    <row r="444" spans="1:8" s="59" customFormat="1" x14ac:dyDescent="0.25">
      <c r="A444" s="139"/>
      <c r="B444" s="139"/>
      <c r="C444" s="47" t="s">
        <v>422</v>
      </c>
      <c r="D444" s="48">
        <f t="shared" si="150"/>
        <v>400000</v>
      </c>
      <c r="E444" s="48">
        <v>400000</v>
      </c>
      <c r="F444" s="131"/>
      <c r="G444" s="48"/>
      <c r="H444" s="49"/>
    </row>
    <row r="445" spans="1:8" s="59" customFormat="1" x14ac:dyDescent="0.25">
      <c r="A445" s="140"/>
      <c r="B445" s="140"/>
      <c r="C445" s="47" t="s">
        <v>423</v>
      </c>
      <c r="D445" s="48">
        <f t="shared" si="150"/>
        <v>400000</v>
      </c>
      <c r="E445" s="48">
        <v>400000</v>
      </c>
      <c r="F445" s="131"/>
      <c r="G445" s="48"/>
      <c r="H445" s="49"/>
    </row>
    <row r="446" spans="1:8" s="53" customFormat="1" ht="14.25" x14ac:dyDescent="0.25">
      <c r="A446" s="41"/>
      <c r="B446" s="41"/>
      <c r="C446" s="74" t="s">
        <v>269</v>
      </c>
      <c r="D446" s="45">
        <f>SUM(E446:H446)</f>
        <v>400000</v>
      </c>
      <c r="E446" s="45">
        <f t="shared" ref="E446:H446" si="151">+E447</f>
        <v>400000</v>
      </c>
      <c r="F446" s="130">
        <f t="shared" si="151"/>
        <v>0</v>
      </c>
      <c r="G446" s="45">
        <f t="shared" si="151"/>
        <v>0</v>
      </c>
      <c r="H446" s="45">
        <f t="shared" si="151"/>
        <v>0</v>
      </c>
    </row>
    <row r="447" spans="1:8" s="59" customFormat="1" x14ac:dyDescent="0.25">
      <c r="A447" s="63"/>
      <c r="B447" s="63"/>
      <c r="C447" s="79" t="s">
        <v>424</v>
      </c>
      <c r="D447" s="48">
        <f>+E447+F447+G447+H447</f>
        <v>400000</v>
      </c>
      <c r="E447" s="48">
        <v>400000</v>
      </c>
      <c r="F447" s="131"/>
      <c r="G447" s="48"/>
      <c r="H447" s="49"/>
    </row>
    <row r="448" spans="1:8" s="53" customFormat="1" ht="14.25" x14ac:dyDescent="0.25">
      <c r="A448" s="41"/>
      <c r="B448" s="41"/>
      <c r="C448" s="74" t="s">
        <v>203</v>
      </c>
      <c r="D448" s="45">
        <f>SUM(E448:H448)</f>
        <v>2462592.2999999998</v>
      </c>
      <c r="E448" s="45">
        <f t="shared" ref="E448:H448" si="152">SUM(E449:E454)</f>
        <v>2462592.2999999998</v>
      </c>
      <c r="F448" s="130">
        <f t="shared" si="152"/>
        <v>0</v>
      </c>
      <c r="G448" s="45">
        <f t="shared" si="152"/>
        <v>0</v>
      </c>
      <c r="H448" s="45">
        <f t="shared" si="152"/>
        <v>0</v>
      </c>
    </row>
    <row r="449" spans="1:8" s="82" customFormat="1" x14ac:dyDescent="0.25">
      <c r="A449" s="150"/>
      <c r="B449" s="150"/>
      <c r="C449" s="80" t="s">
        <v>425</v>
      </c>
      <c r="D449" s="48">
        <f>+E449+F449+G449+H449</f>
        <v>400000</v>
      </c>
      <c r="E449" s="48">
        <v>400000</v>
      </c>
      <c r="F449" s="131"/>
      <c r="G449" s="48"/>
      <c r="H449" s="81"/>
    </row>
    <row r="450" spans="1:8" s="82" customFormat="1" x14ac:dyDescent="0.25">
      <c r="A450" s="151"/>
      <c r="B450" s="151"/>
      <c r="C450" s="80" t="s">
        <v>426</v>
      </c>
      <c r="D450" s="48">
        <f t="shared" ref="D450:D452" si="153">+E450+F450+G450+H450</f>
        <v>400000</v>
      </c>
      <c r="E450" s="48">
        <v>400000</v>
      </c>
      <c r="F450" s="131"/>
      <c r="G450" s="48"/>
      <c r="H450" s="81"/>
    </row>
    <row r="451" spans="1:8" s="82" customFormat="1" ht="27" x14ac:dyDescent="0.25">
      <c r="A451" s="151"/>
      <c r="B451" s="151"/>
      <c r="C451" s="80" t="s">
        <v>427</v>
      </c>
      <c r="D451" s="48">
        <f t="shared" si="153"/>
        <v>400000</v>
      </c>
      <c r="E451" s="48">
        <v>400000</v>
      </c>
      <c r="F451" s="131"/>
      <c r="G451" s="48"/>
      <c r="H451" s="81"/>
    </row>
    <row r="452" spans="1:8" s="82" customFormat="1" x14ac:dyDescent="0.25">
      <c r="A452" s="151"/>
      <c r="B452" s="151"/>
      <c r="C452" s="80" t="s">
        <v>428</v>
      </c>
      <c r="D452" s="48">
        <f t="shared" si="153"/>
        <v>400000</v>
      </c>
      <c r="E452" s="48">
        <v>400000</v>
      </c>
      <c r="F452" s="131"/>
      <c r="G452" s="48"/>
      <c r="H452" s="81"/>
    </row>
    <row r="453" spans="1:8" s="59" customFormat="1" x14ac:dyDescent="0.25">
      <c r="A453" s="151"/>
      <c r="B453" s="151"/>
      <c r="C453" s="79" t="s">
        <v>429</v>
      </c>
      <c r="D453" s="48">
        <f>+E453+F453+G453+H453</f>
        <v>462592.3</v>
      </c>
      <c r="E453" s="48">
        <v>462592.3</v>
      </c>
      <c r="F453" s="131"/>
      <c r="G453" s="48"/>
      <c r="H453" s="49"/>
    </row>
    <row r="454" spans="1:8" s="59" customFormat="1" x14ac:dyDescent="0.25">
      <c r="A454" s="152"/>
      <c r="B454" s="152"/>
      <c r="C454" s="79" t="s">
        <v>430</v>
      </c>
      <c r="D454" s="48">
        <f>+E454+F454+G454+H454</f>
        <v>400000</v>
      </c>
      <c r="E454" s="48">
        <v>400000</v>
      </c>
      <c r="F454" s="131"/>
      <c r="G454" s="48"/>
      <c r="H454" s="49"/>
    </row>
    <row r="455" spans="1:8" s="73" customFormat="1" ht="14.25" x14ac:dyDescent="0.2">
      <c r="A455" s="36">
        <v>1236</v>
      </c>
      <c r="B455" s="36">
        <v>32004</v>
      </c>
      <c r="C455" s="37" t="s">
        <v>431</v>
      </c>
      <c r="D455" s="38">
        <f>SUM(E455:H455)</f>
        <v>37458000</v>
      </c>
      <c r="E455" s="38">
        <f t="shared" ref="E455:H455" si="154">+E457+E458+E462+E472+E474+E484+E493+E499+E506+E517+E525+E530</f>
        <v>0</v>
      </c>
      <c r="F455" s="128">
        <f t="shared" si="154"/>
        <v>37458000</v>
      </c>
      <c r="G455" s="38">
        <f t="shared" si="154"/>
        <v>0</v>
      </c>
      <c r="H455" s="38">
        <f t="shared" si="154"/>
        <v>0</v>
      </c>
    </row>
    <row r="456" spans="1:8" s="73" customFormat="1" x14ac:dyDescent="0.25">
      <c r="A456" s="41"/>
      <c r="B456" s="41"/>
      <c r="C456" s="52" t="s">
        <v>5</v>
      </c>
      <c r="D456" s="70"/>
      <c r="E456" s="70"/>
      <c r="F456" s="134"/>
      <c r="G456" s="70"/>
      <c r="H456" s="41"/>
    </row>
    <row r="457" spans="1:8" s="75" customFormat="1" ht="14.25" x14ac:dyDescent="0.25">
      <c r="A457" s="41"/>
      <c r="B457" s="41"/>
      <c r="C457" s="44" t="s">
        <v>431</v>
      </c>
      <c r="D457" s="62">
        <f>SUM(E457:H457)</f>
        <v>30289332.600000001</v>
      </c>
      <c r="E457" s="62">
        <v>0</v>
      </c>
      <c r="F457" s="133">
        <f>33289332.6-3000000</f>
        <v>30289332.600000001</v>
      </c>
      <c r="G457" s="62">
        <v>0</v>
      </c>
      <c r="H457" s="62">
        <v>0</v>
      </c>
    </row>
    <row r="458" spans="1:8" s="53" customFormat="1" ht="14.25" x14ac:dyDescent="0.25">
      <c r="A458" s="41"/>
      <c r="B458" s="41"/>
      <c r="C458" s="44" t="s">
        <v>165</v>
      </c>
      <c r="D458" s="45">
        <f>SUM(E458:H458)</f>
        <v>226600</v>
      </c>
      <c r="E458" s="45">
        <f t="shared" ref="E458:H458" si="155">SUM(E459:E461)</f>
        <v>0</v>
      </c>
      <c r="F458" s="130">
        <f t="shared" si="155"/>
        <v>226600</v>
      </c>
      <c r="G458" s="45">
        <f t="shared" si="155"/>
        <v>0</v>
      </c>
      <c r="H458" s="45">
        <f t="shared" si="155"/>
        <v>0</v>
      </c>
    </row>
    <row r="459" spans="1:8" s="59" customFormat="1" x14ac:dyDescent="0.25">
      <c r="A459" s="141"/>
      <c r="B459" s="141"/>
      <c r="C459" s="47" t="s">
        <v>432</v>
      </c>
      <c r="D459" s="48">
        <f>+E459+F459+G459+H459</f>
        <v>100000</v>
      </c>
      <c r="E459" s="48"/>
      <c r="F459" s="131">
        <v>100000</v>
      </c>
      <c r="G459" s="48"/>
      <c r="H459" s="49"/>
    </row>
    <row r="460" spans="1:8" s="84" customFormat="1" x14ac:dyDescent="0.2">
      <c r="A460" s="139"/>
      <c r="B460" s="139"/>
      <c r="C460" s="83" t="s">
        <v>433</v>
      </c>
      <c r="D460" s="77">
        <f t="shared" ref="D460:D461" si="156">+E460+F460+G460+H460</f>
        <v>79000</v>
      </c>
      <c r="E460" s="77"/>
      <c r="F460" s="135">
        <v>79000</v>
      </c>
      <c r="G460" s="77"/>
      <c r="H460" s="77"/>
    </row>
    <row r="461" spans="1:8" s="84" customFormat="1" x14ac:dyDescent="0.2">
      <c r="A461" s="140"/>
      <c r="B461" s="140"/>
      <c r="C461" s="83" t="s">
        <v>434</v>
      </c>
      <c r="D461" s="86">
        <f t="shared" si="156"/>
        <v>47600</v>
      </c>
      <c r="E461" s="85"/>
      <c r="F461" s="135">
        <f>97600-50000</f>
        <v>47600</v>
      </c>
      <c r="G461" s="85"/>
      <c r="H461" s="85"/>
    </row>
    <row r="462" spans="1:8" s="91" customFormat="1" ht="14.25" x14ac:dyDescent="0.25">
      <c r="A462" s="87"/>
      <c r="B462" s="87"/>
      <c r="C462" s="88" t="s">
        <v>147</v>
      </c>
      <c r="D462" s="89">
        <f>SUM(E462:H462)</f>
        <v>1156141.6000000001</v>
      </c>
      <c r="E462" s="90">
        <f>SUM(E463:E471)</f>
        <v>0</v>
      </c>
      <c r="F462" s="136">
        <f>SUM(F463:F471)</f>
        <v>1156141.6000000001</v>
      </c>
      <c r="G462" s="90">
        <f t="shared" ref="G462:H462" si="157">SUM(G463:G471)</f>
        <v>0</v>
      </c>
      <c r="H462" s="90">
        <f t="shared" si="157"/>
        <v>0</v>
      </c>
    </row>
    <row r="463" spans="1:8" s="84" customFormat="1" x14ac:dyDescent="0.2">
      <c r="A463" s="142"/>
      <c r="B463" s="142"/>
      <c r="C463" s="83" t="s">
        <v>435</v>
      </c>
      <c r="D463" s="77">
        <f>+E463+F463+G463+H463</f>
        <v>60721.7</v>
      </c>
      <c r="E463" s="77"/>
      <c r="F463" s="135">
        <f>110721.7-50000</f>
        <v>60721.7</v>
      </c>
      <c r="G463" s="77"/>
      <c r="H463" s="77"/>
    </row>
    <row r="464" spans="1:8" s="84" customFormat="1" x14ac:dyDescent="0.2">
      <c r="A464" s="143"/>
      <c r="B464" s="143"/>
      <c r="C464" s="83" t="s">
        <v>436</v>
      </c>
      <c r="D464" s="77">
        <f>+E464+F464+G464+H464</f>
        <v>32400</v>
      </c>
      <c r="E464" s="77"/>
      <c r="F464" s="135">
        <v>32400</v>
      </c>
      <c r="G464" s="77"/>
      <c r="H464" s="77"/>
    </row>
    <row r="465" spans="1:8" s="84" customFormat="1" x14ac:dyDescent="0.2">
      <c r="A465" s="143"/>
      <c r="B465" s="143"/>
      <c r="C465" s="83" t="s">
        <v>437</v>
      </c>
      <c r="D465" s="86">
        <f t="shared" ref="D465:D471" si="158">+E465+F465+G465+H465</f>
        <v>69992</v>
      </c>
      <c r="E465" s="85"/>
      <c r="F465" s="135">
        <v>69992</v>
      </c>
      <c r="G465" s="85"/>
      <c r="H465" s="85"/>
    </row>
    <row r="466" spans="1:8" s="84" customFormat="1" x14ac:dyDescent="0.2">
      <c r="A466" s="143"/>
      <c r="B466" s="143"/>
      <c r="C466" s="83" t="s">
        <v>438</v>
      </c>
      <c r="D466" s="77">
        <f t="shared" si="158"/>
        <v>273400</v>
      </c>
      <c r="E466" s="77"/>
      <c r="F466" s="137">
        <v>273400</v>
      </c>
      <c r="G466" s="77"/>
      <c r="H466" s="77"/>
    </row>
    <row r="467" spans="1:8" s="84" customFormat="1" x14ac:dyDescent="0.2">
      <c r="A467" s="143"/>
      <c r="B467" s="143"/>
      <c r="C467" s="83" t="s">
        <v>439</v>
      </c>
      <c r="D467" s="77">
        <f t="shared" si="158"/>
        <v>159085.59999999998</v>
      </c>
      <c r="E467" s="77"/>
      <c r="F467" s="137">
        <v>159085.59999999998</v>
      </c>
      <c r="G467" s="77"/>
      <c r="H467" s="77"/>
    </row>
    <row r="468" spans="1:8" s="84" customFormat="1" x14ac:dyDescent="0.2">
      <c r="A468" s="143"/>
      <c r="B468" s="143"/>
      <c r="C468" s="83" t="s">
        <v>440</v>
      </c>
      <c r="D468" s="77">
        <f t="shared" si="158"/>
        <v>113913.20000000001</v>
      </c>
      <c r="E468" s="77"/>
      <c r="F468" s="137">
        <v>113913.20000000001</v>
      </c>
      <c r="G468" s="77"/>
      <c r="H468" s="77"/>
    </row>
    <row r="469" spans="1:8" s="84" customFormat="1" x14ac:dyDescent="0.2">
      <c r="A469" s="143"/>
      <c r="B469" s="143"/>
      <c r="C469" s="83" t="s">
        <v>441</v>
      </c>
      <c r="D469" s="77">
        <f t="shared" si="158"/>
        <v>136629.1</v>
      </c>
      <c r="E469" s="77"/>
      <c r="F469" s="137">
        <v>136629.1</v>
      </c>
      <c r="G469" s="77"/>
      <c r="H469" s="77"/>
    </row>
    <row r="470" spans="1:8" s="84" customFormat="1" x14ac:dyDescent="0.2">
      <c r="A470" s="143"/>
      <c r="B470" s="143"/>
      <c r="C470" s="83" t="s">
        <v>442</v>
      </c>
      <c r="D470" s="77">
        <f t="shared" si="158"/>
        <v>125600</v>
      </c>
      <c r="E470" s="77"/>
      <c r="F470" s="137">
        <v>125600</v>
      </c>
      <c r="G470" s="77"/>
      <c r="H470" s="77"/>
    </row>
    <row r="471" spans="1:8" s="84" customFormat="1" x14ac:dyDescent="0.2">
      <c r="A471" s="144"/>
      <c r="B471" s="144"/>
      <c r="C471" s="83" t="s">
        <v>443</v>
      </c>
      <c r="D471" s="77">
        <f t="shared" si="158"/>
        <v>184400</v>
      </c>
      <c r="E471" s="77"/>
      <c r="F471" s="137">
        <v>184400</v>
      </c>
      <c r="G471" s="77"/>
      <c r="H471" s="77"/>
    </row>
    <row r="472" spans="1:8" s="91" customFormat="1" ht="14.25" x14ac:dyDescent="0.25">
      <c r="A472" s="87"/>
      <c r="B472" s="87"/>
      <c r="C472" s="88" t="s">
        <v>149</v>
      </c>
      <c r="D472" s="89">
        <f>SUM(E472:H472)</f>
        <v>68600</v>
      </c>
      <c r="E472" s="90">
        <f t="shared" ref="E472:H472" si="159">+E473</f>
        <v>0</v>
      </c>
      <c r="F472" s="136">
        <f t="shared" si="159"/>
        <v>68600</v>
      </c>
      <c r="G472" s="90">
        <f t="shared" si="159"/>
        <v>0</v>
      </c>
      <c r="H472" s="90">
        <f t="shared" si="159"/>
        <v>0</v>
      </c>
    </row>
    <row r="473" spans="1:8" s="84" customFormat="1" x14ac:dyDescent="0.25">
      <c r="A473" s="92"/>
      <c r="B473" s="92"/>
      <c r="C473" s="83" t="s">
        <v>444</v>
      </c>
      <c r="D473" s="77">
        <f>+E473+F473+G473+H473</f>
        <v>68600</v>
      </c>
      <c r="E473" s="77"/>
      <c r="F473" s="135">
        <v>68600</v>
      </c>
      <c r="G473" s="77"/>
      <c r="H473" s="77"/>
    </row>
    <row r="474" spans="1:8" s="96" customFormat="1" ht="16.899999999999999" customHeight="1" x14ac:dyDescent="0.25">
      <c r="A474" s="93"/>
      <c r="B474" s="93"/>
      <c r="C474" s="94" t="s">
        <v>152</v>
      </c>
      <c r="D474" s="95">
        <f>SUM(E474:H474)</f>
        <v>1335871.1000000001</v>
      </c>
      <c r="E474" s="95">
        <f>SUM(E475:E483)</f>
        <v>0</v>
      </c>
      <c r="F474" s="138">
        <f>SUM(F475:F483)</f>
        <v>1335871.1000000001</v>
      </c>
      <c r="G474" s="95">
        <f t="shared" ref="G474:H474" si="160">SUM(G475:G483)</f>
        <v>0</v>
      </c>
      <c r="H474" s="95">
        <f t="shared" si="160"/>
        <v>0</v>
      </c>
    </row>
    <row r="475" spans="1:8" s="84" customFormat="1" x14ac:dyDescent="0.2">
      <c r="A475" s="142"/>
      <c r="B475" s="142"/>
      <c r="C475" s="83" t="s">
        <v>445</v>
      </c>
      <c r="D475" s="77">
        <f>+E475+F475+G475+H475</f>
        <v>121060</v>
      </c>
      <c r="E475" s="77"/>
      <c r="F475" s="135">
        <f>171060-50000</f>
        <v>121060</v>
      </c>
      <c r="G475" s="77"/>
      <c r="H475" s="77"/>
    </row>
    <row r="476" spans="1:8" s="84" customFormat="1" x14ac:dyDescent="0.2">
      <c r="A476" s="143"/>
      <c r="B476" s="143"/>
      <c r="C476" s="83" t="s">
        <v>446</v>
      </c>
      <c r="D476" s="86">
        <f t="shared" ref="D476:D483" si="161">+E476+F476+G476+H476</f>
        <v>183900</v>
      </c>
      <c r="E476" s="85"/>
      <c r="F476" s="135">
        <f>233900-50000</f>
        <v>183900</v>
      </c>
      <c r="G476" s="85"/>
      <c r="H476" s="85"/>
    </row>
    <row r="477" spans="1:8" s="84" customFormat="1" x14ac:dyDescent="0.2">
      <c r="A477" s="143"/>
      <c r="B477" s="143"/>
      <c r="C477" s="83" t="s">
        <v>447</v>
      </c>
      <c r="D477" s="86">
        <f t="shared" si="161"/>
        <v>196400</v>
      </c>
      <c r="E477" s="85"/>
      <c r="F477" s="135">
        <f>246400-50000</f>
        <v>196400</v>
      </c>
      <c r="G477" s="85"/>
      <c r="H477" s="85"/>
    </row>
    <row r="478" spans="1:8" s="84" customFormat="1" ht="19.5" customHeight="1" x14ac:dyDescent="0.2">
      <c r="A478" s="143"/>
      <c r="B478" s="143"/>
      <c r="C478" s="83" t="s">
        <v>448</v>
      </c>
      <c r="D478" s="86">
        <f t="shared" si="161"/>
        <v>122000</v>
      </c>
      <c r="E478" s="85"/>
      <c r="F478" s="135">
        <f>172000-50000</f>
        <v>122000</v>
      </c>
      <c r="G478" s="85"/>
      <c r="H478" s="85"/>
    </row>
    <row r="479" spans="1:8" s="84" customFormat="1" x14ac:dyDescent="0.2">
      <c r="A479" s="143"/>
      <c r="B479" s="143"/>
      <c r="C479" s="83" t="s">
        <v>449</v>
      </c>
      <c r="D479" s="86">
        <f t="shared" si="161"/>
        <v>115662</v>
      </c>
      <c r="E479" s="85"/>
      <c r="F479" s="135">
        <f>165662-50000</f>
        <v>115662</v>
      </c>
      <c r="G479" s="85"/>
      <c r="H479" s="85"/>
    </row>
    <row r="480" spans="1:8" s="84" customFormat="1" x14ac:dyDescent="0.2">
      <c r="A480" s="143"/>
      <c r="B480" s="143"/>
      <c r="C480" s="83" t="s">
        <v>450</v>
      </c>
      <c r="D480" s="77">
        <f t="shared" si="161"/>
        <v>100000</v>
      </c>
      <c r="E480" s="77"/>
      <c r="F480" s="137">
        <v>100000</v>
      </c>
      <c r="G480" s="77"/>
      <c r="H480" s="77"/>
    </row>
    <row r="481" spans="1:8" s="84" customFormat="1" x14ac:dyDescent="0.2">
      <c r="A481" s="143"/>
      <c r="B481" s="143"/>
      <c r="C481" s="83" t="s">
        <v>451</v>
      </c>
      <c r="D481" s="77">
        <f t="shared" si="161"/>
        <v>100000</v>
      </c>
      <c r="E481" s="77"/>
      <c r="F481" s="137">
        <v>100000</v>
      </c>
      <c r="G481" s="77"/>
      <c r="H481" s="77"/>
    </row>
    <row r="482" spans="1:8" s="84" customFormat="1" x14ac:dyDescent="0.2">
      <c r="A482" s="143"/>
      <c r="B482" s="143"/>
      <c r="C482" s="83" t="s">
        <v>452</v>
      </c>
      <c r="D482" s="77">
        <f t="shared" si="161"/>
        <v>79395</v>
      </c>
      <c r="E482" s="77"/>
      <c r="F482" s="137">
        <v>79395</v>
      </c>
      <c r="G482" s="77"/>
      <c r="H482" s="77"/>
    </row>
    <row r="483" spans="1:8" s="84" customFormat="1" x14ac:dyDescent="0.2">
      <c r="A483" s="144"/>
      <c r="B483" s="144"/>
      <c r="C483" s="83" t="s">
        <v>453</v>
      </c>
      <c r="D483" s="77">
        <f t="shared" si="161"/>
        <v>317454.09999999998</v>
      </c>
      <c r="E483" s="77"/>
      <c r="F483" s="137">
        <v>317454.09999999998</v>
      </c>
      <c r="G483" s="77"/>
      <c r="H483" s="77"/>
    </row>
    <row r="484" spans="1:8" s="91" customFormat="1" ht="14.25" x14ac:dyDescent="0.25">
      <c r="A484" s="87"/>
      <c r="B484" s="87"/>
      <c r="C484" s="88" t="s">
        <v>185</v>
      </c>
      <c r="D484" s="89">
        <f>SUM(E484:H484)</f>
        <v>1197108</v>
      </c>
      <c r="E484" s="90">
        <f>SUM(E485:E492)</f>
        <v>0</v>
      </c>
      <c r="F484" s="136">
        <f>SUM(F485:F492)</f>
        <v>1197108</v>
      </c>
      <c r="G484" s="90">
        <f t="shared" ref="G484:H484" si="162">SUM(G485:G492)</f>
        <v>0</v>
      </c>
      <c r="H484" s="90">
        <f t="shared" si="162"/>
        <v>0</v>
      </c>
    </row>
    <row r="485" spans="1:8" s="84" customFormat="1" x14ac:dyDescent="0.2">
      <c r="A485" s="142"/>
      <c r="B485" s="142"/>
      <c r="C485" s="83" t="s">
        <v>454</v>
      </c>
      <c r="D485" s="77">
        <f t="shared" ref="D485:D492" si="163">+E485+F485+G485+H485</f>
        <v>81460</v>
      </c>
      <c r="E485" s="77"/>
      <c r="F485" s="135">
        <f>131460-50000</f>
        <v>81460</v>
      </c>
      <c r="G485" s="77"/>
      <c r="H485" s="77"/>
    </row>
    <row r="486" spans="1:8" s="84" customFormat="1" x14ac:dyDescent="0.2">
      <c r="A486" s="143"/>
      <c r="B486" s="143"/>
      <c r="C486" s="83" t="s">
        <v>455</v>
      </c>
      <c r="D486" s="77">
        <f t="shared" si="163"/>
        <v>168890.1</v>
      </c>
      <c r="E486" s="77"/>
      <c r="F486" s="137">
        <f>218890.1-50000</f>
        <v>168890.1</v>
      </c>
      <c r="G486" s="77"/>
      <c r="H486" s="77"/>
    </row>
    <row r="487" spans="1:8" s="84" customFormat="1" x14ac:dyDescent="0.2">
      <c r="A487" s="143"/>
      <c r="B487" s="143"/>
      <c r="C487" s="83" t="s">
        <v>456</v>
      </c>
      <c r="D487" s="86">
        <f t="shared" si="163"/>
        <v>177845.7</v>
      </c>
      <c r="E487" s="85"/>
      <c r="F487" s="135">
        <f>227845.7-50000</f>
        <v>177845.7</v>
      </c>
      <c r="G487" s="85"/>
      <c r="H487" s="85"/>
    </row>
    <row r="488" spans="1:8" s="84" customFormat="1" x14ac:dyDescent="0.2">
      <c r="A488" s="143"/>
      <c r="B488" s="143"/>
      <c r="C488" s="83" t="s">
        <v>457</v>
      </c>
      <c r="D488" s="86">
        <f t="shared" si="163"/>
        <v>318960</v>
      </c>
      <c r="E488" s="85"/>
      <c r="F488" s="135">
        <f>368960-50000</f>
        <v>318960</v>
      </c>
      <c r="G488" s="85"/>
      <c r="H488" s="85"/>
    </row>
    <row r="489" spans="1:8" s="84" customFormat="1" x14ac:dyDescent="0.2">
      <c r="A489" s="143"/>
      <c r="B489" s="143"/>
      <c r="C489" s="83" t="s">
        <v>458</v>
      </c>
      <c r="D489" s="86">
        <f t="shared" si="163"/>
        <v>175984.5</v>
      </c>
      <c r="E489" s="85"/>
      <c r="F489" s="135">
        <f>225984.5-50000</f>
        <v>175984.5</v>
      </c>
      <c r="G489" s="85"/>
      <c r="H489" s="85"/>
    </row>
    <row r="490" spans="1:8" s="84" customFormat="1" x14ac:dyDescent="0.2">
      <c r="A490" s="143"/>
      <c r="B490" s="143"/>
      <c r="C490" s="83" t="s">
        <v>459</v>
      </c>
      <c r="D490" s="86">
        <f t="shared" si="163"/>
        <v>87000</v>
      </c>
      <c r="E490" s="85"/>
      <c r="F490" s="135">
        <f>137000-50000</f>
        <v>87000</v>
      </c>
      <c r="G490" s="85"/>
      <c r="H490" s="85"/>
    </row>
    <row r="491" spans="1:8" s="84" customFormat="1" x14ac:dyDescent="0.2">
      <c r="A491" s="143"/>
      <c r="B491" s="143"/>
      <c r="C491" s="83" t="s">
        <v>460</v>
      </c>
      <c r="D491" s="86">
        <f t="shared" si="163"/>
        <v>72467.7</v>
      </c>
      <c r="E491" s="85"/>
      <c r="F491" s="135">
        <f>122467.7-50000</f>
        <v>72467.7</v>
      </c>
      <c r="G491" s="85"/>
      <c r="H491" s="85"/>
    </row>
    <row r="492" spans="1:8" s="84" customFormat="1" x14ac:dyDescent="0.2">
      <c r="A492" s="144"/>
      <c r="B492" s="144"/>
      <c r="C492" s="83" t="s">
        <v>461</v>
      </c>
      <c r="D492" s="86">
        <f t="shared" si="163"/>
        <v>114500</v>
      </c>
      <c r="E492" s="85"/>
      <c r="F492" s="135">
        <f>164500-50000</f>
        <v>114500</v>
      </c>
      <c r="G492" s="85"/>
      <c r="H492" s="85"/>
    </row>
    <row r="493" spans="1:8" s="91" customFormat="1" ht="14.25" x14ac:dyDescent="0.25">
      <c r="A493" s="87"/>
      <c r="B493" s="87"/>
      <c r="C493" s="88" t="s">
        <v>157</v>
      </c>
      <c r="D493" s="89">
        <f>SUM(E493:H493)</f>
        <v>282659.40000000002</v>
      </c>
      <c r="E493" s="97">
        <f>SUM(E494:E498)</f>
        <v>0</v>
      </c>
      <c r="F493" s="136">
        <f>SUM(F494:F498)</f>
        <v>282659.40000000002</v>
      </c>
      <c r="G493" s="90">
        <f t="shared" ref="G493:H493" si="164">SUM(G494:G498)</f>
        <v>0</v>
      </c>
      <c r="H493" s="90">
        <f t="shared" si="164"/>
        <v>0</v>
      </c>
    </row>
    <row r="494" spans="1:8" s="84" customFormat="1" ht="27" x14ac:dyDescent="0.2">
      <c r="A494" s="148"/>
      <c r="B494" s="148"/>
      <c r="C494" s="83" t="s">
        <v>462</v>
      </c>
      <c r="D494" s="86">
        <f t="shared" ref="D494:D498" si="165">+E494+F494+G494+H494</f>
        <v>66461.2</v>
      </c>
      <c r="E494" s="85"/>
      <c r="F494" s="135">
        <f>116461.2-50000</f>
        <v>66461.2</v>
      </c>
      <c r="G494" s="85"/>
      <c r="H494" s="85"/>
    </row>
    <row r="495" spans="1:8" s="84" customFormat="1" x14ac:dyDescent="0.2">
      <c r="A495" s="149"/>
      <c r="B495" s="149"/>
      <c r="C495" s="83" t="s">
        <v>463</v>
      </c>
      <c r="D495" s="86">
        <f t="shared" si="165"/>
        <v>50296</v>
      </c>
      <c r="E495" s="85"/>
      <c r="F495" s="135">
        <v>50296</v>
      </c>
      <c r="G495" s="85"/>
      <c r="H495" s="85"/>
    </row>
    <row r="496" spans="1:8" s="84" customFormat="1" x14ac:dyDescent="0.2">
      <c r="A496" s="149"/>
      <c r="B496" s="149"/>
      <c r="C496" s="83" t="s">
        <v>464</v>
      </c>
      <c r="D496" s="86">
        <f t="shared" si="165"/>
        <v>62473.2</v>
      </c>
      <c r="E496" s="85"/>
      <c r="F496" s="135">
        <f>112473.2-50000</f>
        <v>62473.2</v>
      </c>
      <c r="G496" s="85"/>
      <c r="H496" s="85"/>
    </row>
    <row r="497" spans="1:8" s="84" customFormat="1" x14ac:dyDescent="0.2">
      <c r="A497" s="149"/>
      <c r="B497" s="149"/>
      <c r="C497" s="83" t="s">
        <v>465</v>
      </c>
      <c r="D497" s="86">
        <f t="shared" si="165"/>
        <v>36980</v>
      </c>
      <c r="E497" s="85"/>
      <c r="F497" s="135">
        <v>36980</v>
      </c>
      <c r="G497" s="85"/>
      <c r="H497" s="85"/>
    </row>
    <row r="498" spans="1:8" s="84" customFormat="1" x14ac:dyDescent="0.2">
      <c r="A498" s="149"/>
      <c r="B498" s="149"/>
      <c r="C498" s="83" t="s">
        <v>466</v>
      </c>
      <c r="D498" s="86">
        <f t="shared" si="165"/>
        <v>66449</v>
      </c>
      <c r="E498" s="85"/>
      <c r="F498" s="135">
        <v>66449</v>
      </c>
      <c r="G498" s="85"/>
      <c r="H498" s="85"/>
    </row>
    <row r="499" spans="1:8" s="96" customFormat="1" ht="16.899999999999999" customHeight="1" x14ac:dyDescent="0.25">
      <c r="A499" s="93"/>
      <c r="B499" s="93"/>
      <c r="C499" s="94" t="s">
        <v>154</v>
      </c>
      <c r="D499" s="98">
        <f>SUM(E499:H499)</f>
        <v>493383.7</v>
      </c>
      <c r="E499" s="99">
        <f>SUM(E500:E505)</f>
        <v>0</v>
      </c>
      <c r="F499" s="138">
        <f>SUM(F500:F505)</f>
        <v>493383.7</v>
      </c>
      <c r="G499" s="99">
        <f t="shared" ref="G499:H499" si="166">SUM(G500:G505)</f>
        <v>0</v>
      </c>
      <c r="H499" s="99">
        <f t="shared" si="166"/>
        <v>0</v>
      </c>
    </row>
    <row r="500" spans="1:8" s="84" customFormat="1" x14ac:dyDescent="0.2">
      <c r="A500" s="142"/>
      <c r="B500" s="142"/>
      <c r="C500" s="83" t="s">
        <v>467</v>
      </c>
      <c r="D500" s="86">
        <f t="shared" ref="D500:D505" si="167">+E500+F500+G500+H500</f>
        <v>74296</v>
      </c>
      <c r="E500" s="86"/>
      <c r="F500" s="135">
        <f>124296-50000</f>
        <v>74296</v>
      </c>
      <c r="G500" s="85"/>
      <c r="H500" s="85"/>
    </row>
    <row r="501" spans="1:8" s="84" customFormat="1" x14ac:dyDescent="0.2">
      <c r="A501" s="143"/>
      <c r="B501" s="143"/>
      <c r="C501" s="83" t="s">
        <v>468</v>
      </c>
      <c r="D501" s="86">
        <f t="shared" si="167"/>
        <v>49700</v>
      </c>
      <c r="E501" s="86"/>
      <c r="F501" s="135">
        <v>49700</v>
      </c>
      <c r="G501" s="85"/>
      <c r="H501" s="85"/>
    </row>
    <row r="502" spans="1:8" s="84" customFormat="1" x14ac:dyDescent="0.2">
      <c r="A502" s="143"/>
      <c r="B502" s="143"/>
      <c r="C502" s="83" t="s">
        <v>469</v>
      </c>
      <c r="D502" s="86">
        <f t="shared" si="167"/>
        <v>69387.7</v>
      </c>
      <c r="E502" s="86"/>
      <c r="F502" s="135">
        <v>69387.7</v>
      </c>
      <c r="G502" s="85"/>
      <c r="H502" s="85"/>
    </row>
    <row r="503" spans="1:8" s="84" customFormat="1" x14ac:dyDescent="0.2">
      <c r="A503" s="143"/>
      <c r="B503" s="143"/>
      <c r="C503" s="83" t="s">
        <v>470</v>
      </c>
      <c r="D503" s="86">
        <f t="shared" si="167"/>
        <v>100000</v>
      </c>
      <c r="E503" s="86"/>
      <c r="F503" s="135">
        <v>100000</v>
      </c>
      <c r="G503" s="85"/>
      <c r="H503" s="85"/>
    </row>
    <row r="504" spans="1:8" s="84" customFormat="1" x14ac:dyDescent="0.2">
      <c r="A504" s="143"/>
      <c r="B504" s="143"/>
      <c r="C504" s="83" t="s">
        <v>471</v>
      </c>
      <c r="D504" s="86">
        <f t="shared" si="167"/>
        <v>100000</v>
      </c>
      <c r="E504" s="86"/>
      <c r="F504" s="135">
        <v>100000</v>
      </c>
      <c r="G504" s="85"/>
      <c r="H504" s="85"/>
    </row>
    <row r="505" spans="1:8" s="84" customFormat="1" x14ac:dyDescent="0.2">
      <c r="A505" s="144"/>
      <c r="B505" s="144"/>
      <c r="C505" s="83" t="s">
        <v>472</v>
      </c>
      <c r="D505" s="86">
        <f t="shared" si="167"/>
        <v>100000</v>
      </c>
      <c r="E505" s="86"/>
      <c r="F505" s="135">
        <v>100000</v>
      </c>
      <c r="G505" s="85"/>
      <c r="H505" s="85"/>
    </row>
    <row r="506" spans="1:8" s="91" customFormat="1" ht="14.25" x14ac:dyDescent="0.25">
      <c r="A506" s="87"/>
      <c r="B506" s="87"/>
      <c r="C506" s="88" t="s">
        <v>159</v>
      </c>
      <c r="D506" s="89">
        <f>SUM(E506:H506)</f>
        <v>1119228.8999999999</v>
      </c>
      <c r="E506" s="90">
        <f>SUM(E507:E516)</f>
        <v>0</v>
      </c>
      <c r="F506" s="136">
        <f>SUM(F507:F516)</f>
        <v>1119228.8999999999</v>
      </c>
      <c r="G506" s="90">
        <f t="shared" ref="G506:H506" si="168">SUM(G507:G516)</f>
        <v>0</v>
      </c>
      <c r="H506" s="90">
        <f t="shared" si="168"/>
        <v>0</v>
      </c>
    </row>
    <row r="507" spans="1:8" s="84" customFormat="1" x14ac:dyDescent="0.2">
      <c r="A507" s="143"/>
      <c r="B507" s="143"/>
      <c r="C507" s="83" t="s">
        <v>473</v>
      </c>
      <c r="D507" s="77">
        <f t="shared" ref="D507:D516" si="169">+E507+F507+G507+H507</f>
        <v>30425</v>
      </c>
      <c r="E507" s="77"/>
      <c r="F507" s="135">
        <v>30425</v>
      </c>
      <c r="G507" s="77"/>
      <c r="H507" s="77"/>
    </row>
    <row r="508" spans="1:8" s="84" customFormat="1" x14ac:dyDescent="0.2">
      <c r="A508" s="143"/>
      <c r="B508" s="143"/>
      <c r="C508" s="83" t="s">
        <v>474</v>
      </c>
      <c r="D508" s="77">
        <f t="shared" si="169"/>
        <v>56400</v>
      </c>
      <c r="E508" s="77"/>
      <c r="F508" s="135">
        <f>106400-50000</f>
        <v>56400</v>
      </c>
      <c r="G508" s="77"/>
      <c r="H508" s="77"/>
    </row>
    <row r="509" spans="1:8" s="84" customFormat="1" x14ac:dyDescent="0.2">
      <c r="A509" s="143"/>
      <c r="B509" s="143"/>
      <c r="C509" s="83" t="s">
        <v>475</v>
      </c>
      <c r="D509" s="77">
        <f t="shared" si="169"/>
        <v>106984.1</v>
      </c>
      <c r="E509" s="77"/>
      <c r="F509" s="135">
        <f>156984.1-50000</f>
        <v>106984.1</v>
      </c>
      <c r="G509" s="77"/>
      <c r="H509" s="77"/>
    </row>
    <row r="510" spans="1:8" s="84" customFormat="1" x14ac:dyDescent="0.2">
      <c r="A510" s="143"/>
      <c r="B510" s="143"/>
      <c r="C510" s="83" t="s">
        <v>476</v>
      </c>
      <c r="D510" s="77">
        <f t="shared" si="169"/>
        <v>63877</v>
      </c>
      <c r="E510" s="77"/>
      <c r="F510" s="135">
        <v>63877</v>
      </c>
      <c r="G510" s="77"/>
      <c r="H510" s="77"/>
    </row>
    <row r="511" spans="1:8" s="84" customFormat="1" x14ac:dyDescent="0.2">
      <c r="A511" s="143"/>
      <c r="B511" s="143"/>
      <c r="C511" s="83" t="s">
        <v>477</v>
      </c>
      <c r="D511" s="77">
        <f t="shared" si="169"/>
        <v>77800</v>
      </c>
      <c r="E511" s="77"/>
      <c r="F511" s="135">
        <f>77800</f>
        <v>77800</v>
      </c>
      <c r="G511" s="77"/>
      <c r="H511" s="77"/>
    </row>
    <row r="512" spans="1:8" s="102" customFormat="1" x14ac:dyDescent="0.25">
      <c r="A512" s="100"/>
      <c r="B512" s="100"/>
      <c r="C512" s="83" t="s">
        <v>478</v>
      </c>
      <c r="D512" s="105">
        <f t="shared" si="169"/>
        <v>332996.2</v>
      </c>
      <c r="E512" s="105"/>
      <c r="F512" s="137">
        <f>382996.2-50000</f>
        <v>332996.2</v>
      </c>
      <c r="G512" s="101"/>
      <c r="H512" s="101"/>
    </row>
    <row r="513" spans="1:8" s="102" customFormat="1" x14ac:dyDescent="0.25">
      <c r="A513" s="100"/>
      <c r="B513" s="100"/>
      <c r="C513" s="83" t="s">
        <v>479</v>
      </c>
      <c r="D513" s="105">
        <f t="shared" si="169"/>
        <v>232526.2</v>
      </c>
      <c r="E513" s="105"/>
      <c r="F513" s="137">
        <f>282526.2-50000</f>
        <v>232526.2</v>
      </c>
      <c r="G513" s="101"/>
      <c r="H513" s="101"/>
    </row>
    <row r="514" spans="1:8" s="84" customFormat="1" x14ac:dyDescent="0.25">
      <c r="A514" s="100"/>
      <c r="B514" s="100"/>
      <c r="C514" s="83" t="s">
        <v>480</v>
      </c>
      <c r="D514" s="86">
        <f t="shared" si="169"/>
        <v>140240</v>
      </c>
      <c r="E514" s="86"/>
      <c r="F514" s="135">
        <f>190240-50000</f>
        <v>140240</v>
      </c>
      <c r="G514" s="85"/>
      <c r="H514" s="85"/>
    </row>
    <row r="515" spans="1:8" s="84" customFormat="1" x14ac:dyDescent="0.25">
      <c r="A515" s="100"/>
      <c r="B515" s="100"/>
      <c r="C515" s="83" t="s">
        <v>481</v>
      </c>
      <c r="D515" s="86">
        <f t="shared" si="169"/>
        <v>33000.399999999994</v>
      </c>
      <c r="E515" s="86"/>
      <c r="F515" s="135">
        <f>83000.4-50000</f>
        <v>33000.399999999994</v>
      </c>
      <c r="G515" s="85"/>
      <c r="H515" s="85"/>
    </row>
    <row r="516" spans="1:8" s="84" customFormat="1" x14ac:dyDescent="0.25">
      <c r="A516" s="100"/>
      <c r="B516" s="100"/>
      <c r="C516" s="83" t="s">
        <v>482</v>
      </c>
      <c r="D516" s="86">
        <f t="shared" si="169"/>
        <v>44980</v>
      </c>
      <c r="E516" s="86"/>
      <c r="F516" s="135">
        <v>44980</v>
      </c>
      <c r="G516" s="85"/>
      <c r="H516" s="85"/>
    </row>
    <row r="517" spans="1:8" s="96" customFormat="1" ht="16.899999999999999" customHeight="1" x14ac:dyDescent="0.25">
      <c r="A517" s="93"/>
      <c r="B517" s="93"/>
      <c r="C517" s="94" t="s">
        <v>161</v>
      </c>
      <c r="D517" s="95">
        <f>SUM(E517:H517)</f>
        <v>671518.39999999991</v>
      </c>
      <c r="E517" s="95">
        <f t="shared" ref="E517:H517" si="170">SUM(E518:E524)</f>
        <v>0</v>
      </c>
      <c r="F517" s="138">
        <f t="shared" si="170"/>
        <v>671518.39999999991</v>
      </c>
      <c r="G517" s="95">
        <f t="shared" si="170"/>
        <v>0</v>
      </c>
      <c r="H517" s="95">
        <f t="shared" si="170"/>
        <v>0</v>
      </c>
    </row>
    <row r="518" spans="1:8" s="84" customFormat="1" x14ac:dyDescent="0.2">
      <c r="A518" s="145"/>
      <c r="B518" s="145"/>
      <c r="C518" s="83" t="s">
        <v>483</v>
      </c>
      <c r="D518" s="77">
        <f>+E518+F518+G518+H518</f>
        <v>75900</v>
      </c>
      <c r="E518" s="77"/>
      <c r="F518" s="135">
        <v>75900</v>
      </c>
      <c r="G518" s="77"/>
      <c r="H518" s="77"/>
    </row>
    <row r="519" spans="1:8" s="84" customFormat="1" x14ac:dyDescent="0.2">
      <c r="A519" s="146"/>
      <c r="B519" s="146"/>
      <c r="C519" s="83" t="s">
        <v>484</v>
      </c>
      <c r="D519" s="77">
        <f>+E519+F519+G519+H519</f>
        <v>124876</v>
      </c>
      <c r="E519" s="77"/>
      <c r="F519" s="135">
        <f>174876-50000</f>
        <v>124876</v>
      </c>
      <c r="G519" s="77"/>
      <c r="H519" s="77"/>
    </row>
    <row r="520" spans="1:8" s="84" customFormat="1" x14ac:dyDescent="0.2">
      <c r="A520" s="146"/>
      <c r="B520" s="146"/>
      <c r="C520" s="83" t="s">
        <v>485</v>
      </c>
      <c r="D520" s="77">
        <f>+E520+F520+G520+H520</f>
        <v>153500.1</v>
      </c>
      <c r="E520" s="77"/>
      <c r="F520" s="135">
        <f>203500.1-50000</f>
        <v>153500.1</v>
      </c>
      <c r="G520" s="77"/>
      <c r="H520" s="77"/>
    </row>
    <row r="521" spans="1:8" s="84" customFormat="1" x14ac:dyDescent="0.2">
      <c r="A521" s="146"/>
      <c r="B521" s="146"/>
      <c r="C521" s="83" t="s">
        <v>486</v>
      </c>
      <c r="D521" s="77">
        <f t="shared" ref="D521:D524" si="171">+E521+F521+G521+H521</f>
        <v>37419.800000000003</v>
      </c>
      <c r="E521" s="77"/>
      <c r="F521" s="137">
        <v>37419.800000000003</v>
      </c>
      <c r="G521" s="77"/>
      <c r="H521" s="77"/>
    </row>
    <row r="522" spans="1:8" s="84" customFormat="1" x14ac:dyDescent="0.2">
      <c r="A522" s="146"/>
      <c r="B522" s="146"/>
      <c r="C522" s="83" t="s">
        <v>487</v>
      </c>
      <c r="D522" s="86">
        <f t="shared" si="171"/>
        <v>35000</v>
      </c>
      <c r="E522" s="85"/>
      <c r="F522" s="135">
        <v>35000</v>
      </c>
      <c r="G522" s="85"/>
      <c r="H522" s="85"/>
    </row>
    <row r="523" spans="1:8" s="84" customFormat="1" x14ac:dyDescent="0.2">
      <c r="A523" s="146"/>
      <c r="B523" s="146"/>
      <c r="C523" s="83" t="s">
        <v>488</v>
      </c>
      <c r="D523" s="86">
        <f t="shared" si="171"/>
        <v>148000</v>
      </c>
      <c r="E523" s="85"/>
      <c r="F523" s="135">
        <f>198000-50000</f>
        <v>148000</v>
      </c>
      <c r="G523" s="85"/>
      <c r="H523" s="85"/>
    </row>
    <row r="524" spans="1:8" s="84" customFormat="1" x14ac:dyDescent="0.2">
      <c r="A524" s="147"/>
      <c r="B524" s="147"/>
      <c r="C524" s="83" t="s">
        <v>489</v>
      </c>
      <c r="D524" s="86">
        <f t="shared" si="171"/>
        <v>96822.5</v>
      </c>
      <c r="E524" s="85"/>
      <c r="F524" s="135">
        <f>146822.5-50000</f>
        <v>96822.5</v>
      </c>
      <c r="G524" s="85"/>
      <c r="H524" s="85"/>
    </row>
    <row r="525" spans="1:8" s="96" customFormat="1" ht="14.25" x14ac:dyDescent="0.25">
      <c r="A525" s="93"/>
      <c r="B525" s="93"/>
      <c r="C525" s="94" t="s">
        <v>269</v>
      </c>
      <c r="D525" s="99">
        <f>SUM(E525:H525)</f>
        <v>361410.5</v>
      </c>
      <c r="E525" s="99">
        <f>SUM(E526:E529)</f>
        <v>0</v>
      </c>
      <c r="F525" s="138">
        <f>SUM(F526:F529)</f>
        <v>361410.5</v>
      </c>
      <c r="G525" s="99">
        <f t="shared" ref="G525:H525" si="172">SUM(G526:G529)</f>
        <v>0</v>
      </c>
      <c r="H525" s="99">
        <f t="shared" si="172"/>
        <v>0</v>
      </c>
    </row>
    <row r="526" spans="1:8" s="84" customFormat="1" x14ac:dyDescent="0.2">
      <c r="A526" s="142"/>
      <c r="B526" s="142"/>
      <c r="C526" s="83" t="s">
        <v>490</v>
      </c>
      <c r="D526" s="86">
        <f>+E526+F526+G526+H526</f>
        <v>97910.5</v>
      </c>
      <c r="E526" s="85"/>
      <c r="F526" s="135">
        <f>147910.5-50000</f>
        <v>97910.5</v>
      </c>
      <c r="G526" s="85"/>
      <c r="H526" s="85"/>
    </row>
    <row r="527" spans="1:8" s="84" customFormat="1" x14ac:dyDescent="0.2">
      <c r="A527" s="143"/>
      <c r="B527" s="143"/>
      <c r="C527" s="83" t="s">
        <v>491</v>
      </c>
      <c r="D527" s="86">
        <f>+E527+F527+G527+H527</f>
        <v>63500</v>
      </c>
      <c r="E527" s="85"/>
      <c r="F527" s="135">
        <f>113500-50000</f>
        <v>63500</v>
      </c>
      <c r="G527" s="85"/>
      <c r="H527" s="85"/>
    </row>
    <row r="528" spans="1:8" s="84" customFormat="1" x14ac:dyDescent="0.2">
      <c r="A528" s="143"/>
      <c r="B528" s="143"/>
      <c r="C528" s="83" t="s">
        <v>492</v>
      </c>
      <c r="D528" s="86">
        <f t="shared" ref="D528:D529" si="173">+E528+F528+G528+H528</f>
        <v>100000</v>
      </c>
      <c r="E528" s="85"/>
      <c r="F528" s="135">
        <v>100000</v>
      </c>
      <c r="G528" s="85"/>
      <c r="H528" s="85"/>
    </row>
    <row r="529" spans="1:8" s="84" customFormat="1" x14ac:dyDescent="0.2">
      <c r="A529" s="144"/>
      <c r="B529" s="144"/>
      <c r="C529" s="83" t="s">
        <v>493</v>
      </c>
      <c r="D529" s="86">
        <f t="shared" si="173"/>
        <v>100000</v>
      </c>
      <c r="E529" s="85"/>
      <c r="F529" s="135">
        <v>100000</v>
      </c>
      <c r="G529" s="85"/>
      <c r="H529" s="85"/>
    </row>
    <row r="530" spans="1:8" s="96" customFormat="1" ht="16.899999999999999" customHeight="1" x14ac:dyDescent="0.25">
      <c r="A530" s="93"/>
      <c r="B530" s="93"/>
      <c r="C530" s="94" t="s">
        <v>203</v>
      </c>
      <c r="D530" s="95">
        <f>SUM(E530:H530)</f>
        <v>256145.8</v>
      </c>
      <c r="E530" s="95">
        <f t="shared" ref="E530:H530" si="174">SUM(E531:E535)</f>
        <v>0</v>
      </c>
      <c r="F530" s="138">
        <f t="shared" si="174"/>
        <v>256145.8</v>
      </c>
      <c r="G530" s="95">
        <f t="shared" si="174"/>
        <v>0</v>
      </c>
      <c r="H530" s="95">
        <f t="shared" si="174"/>
        <v>0</v>
      </c>
    </row>
    <row r="531" spans="1:8" s="84" customFormat="1" x14ac:dyDescent="0.2">
      <c r="A531" s="142"/>
      <c r="B531" s="142"/>
      <c r="C531" s="83" t="s">
        <v>494</v>
      </c>
      <c r="D531" s="77">
        <f>+E531+F531+G531+H531</f>
        <v>51600</v>
      </c>
      <c r="E531" s="77"/>
      <c r="F531" s="135">
        <v>51600</v>
      </c>
      <c r="G531" s="77"/>
      <c r="H531" s="77"/>
    </row>
    <row r="532" spans="1:8" s="84" customFormat="1" x14ac:dyDescent="0.2">
      <c r="A532" s="143"/>
      <c r="B532" s="143"/>
      <c r="C532" s="83" t="s">
        <v>495</v>
      </c>
      <c r="D532" s="77">
        <f t="shared" ref="D532:D535" si="175">+E532+F532+G532+H532</f>
        <v>68741</v>
      </c>
      <c r="E532" s="77"/>
      <c r="F532" s="135">
        <v>68741</v>
      </c>
      <c r="G532" s="77"/>
      <c r="H532" s="77"/>
    </row>
    <row r="533" spans="1:8" s="84" customFormat="1" x14ac:dyDescent="0.2">
      <c r="A533" s="143"/>
      <c r="B533" s="143"/>
      <c r="C533" s="83" t="s">
        <v>496</v>
      </c>
      <c r="D533" s="77">
        <f t="shared" si="175"/>
        <v>61384</v>
      </c>
      <c r="E533" s="77"/>
      <c r="F533" s="135">
        <v>61384</v>
      </c>
      <c r="G533" s="77"/>
      <c r="H533" s="77"/>
    </row>
    <row r="534" spans="1:8" s="84" customFormat="1" x14ac:dyDescent="0.2">
      <c r="A534" s="143"/>
      <c r="B534" s="143"/>
      <c r="C534" s="103" t="s">
        <v>497</v>
      </c>
      <c r="D534" s="86">
        <f t="shared" si="175"/>
        <v>53999.399999999994</v>
      </c>
      <c r="E534" s="85"/>
      <c r="F534" s="135">
        <f>103999.4-50000</f>
        <v>53999.399999999994</v>
      </c>
      <c r="G534" s="85"/>
      <c r="H534" s="85"/>
    </row>
    <row r="535" spans="1:8" s="84" customFormat="1" x14ac:dyDescent="0.2">
      <c r="A535" s="144"/>
      <c r="B535" s="144"/>
      <c r="C535" s="103" t="s">
        <v>498</v>
      </c>
      <c r="D535" s="86">
        <f t="shared" si="175"/>
        <v>20421.400000000001</v>
      </c>
      <c r="E535" s="85"/>
      <c r="F535" s="135">
        <v>20421.400000000001</v>
      </c>
      <c r="G535" s="85"/>
      <c r="H535" s="85"/>
    </row>
    <row r="536" spans="1:8" s="73" customFormat="1" ht="14.25" x14ac:dyDescent="0.2">
      <c r="A536" s="36">
        <v>1236</v>
      </c>
      <c r="B536" s="36">
        <v>32005</v>
      </c>
      <c r="C536" s="37" t="s">
        <v>499</v>
      </c>
      <c r="D536" s="38">
        <f>SUM(E536:H536)</f>
        <v>29539600</v>
      </c>
      <c r="E536" s="38">
        <f>+E538+E539+E548+E554+E559+E567+E577+E579+E584+E598+E602</f>
        <v>29539600</v>
      </c>
      <c r="F536" s="128">
        <f>+F538+F539+F548+F554+F559+F567+F577+F579+F584+F598+F602</f>
        <v>0</v>
      </c>
      <c r="G536" s="38">
        <f>+G538+G539+G548+G554+G559+G567+G577+G579+G584+G598+G602</f>
        <v>0</v>
      </c>
      <c r="H536" s="38">
        <f>+H538+H539+H548+H554+H559+H567+H577+H579+H584+H598+H602</f>
        <v>0</v>
      </c>
    </row>
    <row r="537" spans="1:8" s="73" customFormat="1" x14ac:dyDescent="0.25">
      <c r="A537" s="41"/>
      <c r="B537" s="41"/>
      <c r="C537" s="52" t="s">
        <v>5</v>
      </c>
      <c r="D537" s="70"/>
      <c r="E537" s="70"/>
      <c r="F537" s="134"/>
      <c r="G537" s="70"/>
      <c r="H537" s="41"/>
    </row>
    <row r="538" spans="1:8" s="104" customFormat="1" ht="14.25" x14ac:dyDescent="0.25">
      <c r="A538" s="41"/>
      <c r="B538" s="41"/>
      <c r="C538" s="44" t="s">
        <v>499</v>
      </c>
      <c r="D538" s="62">
        <f>SUM(E538:H538)</f>
        <v>12739600</v>
      </c>
      <c r="E538" s="62">
        <v>12739600</v>
      </c>
      <c r="F538" s="133">
        <v>0</v>
      </c>
      <c r="G538" s="62"/>
      <c r="H538" s="62">
        <v>0</v>
      </c>
    </row>
    <row r="539" spans="1:8" s="59" customFormat="1" ht="14.25" x14ac:dyDescent="0.25">
      <c r="A539" s="41"/>
      <c r="B539" s="41"/>
      <c r="C539" s="44" t="s">
        <v>147</v>
      </c>
      <c r="D539" s="62">
        <f>SUM(E539:H539)</f>
        <v>2400000</v>
      </c>
      <c r="E539" s="62">
        <f t="shared" ref="E539:H539" si="176">SUM(E540:E547)</f>
        <v>2400000</v>
      </c>
      <c r="F539" s="133">
        <f t="shared" si="176"/>
        <v>0</v>
      </c>
      <c r="G539" s="62">
        <f t="shared" si="176"/>
        <v>0</v>
      </c>
      <c r="H539" s="62">
        <f t="shared" si="176"/>
        <v>0</v>
      </c>
    </row>
    <row r="540" spans="1:8" s="59" customFormat="1" x14ac:dyDescent="0.25">
      <c r="A540" s="141"/>
      <c r="B540" s="141"/>
      <c r="C540" s="47" t="s">
        <v>500</v>
      </c>
      <c r="D540" s="48">
        <f>+E540+F540+G540+H540</f>
        <v>300000</v>
      </c>
      <c r="E540" s="48">
        <v>300000</v>
      </c>
      <c r="F540" s="131"/>
      <c r="G540" s="48"/>
      <c r="H540" s="49"/>
    </row>
    <row r="541" spans="1:8" s="59" customFormat="1" x14ac:dyDescent="0.25">
      <c r="A541" s="139"/>
      <c r="B541" s="139"/>
      <c r="C541" s="47" t="s">
        <v>501</v>
      </c>
      <c r="D541" s="48">
        <f t="shared" ref="D541:D553" si="177">+E541+F541+G541+H541</f>
        <v>300000</v>
      </c>
      <c r="E541" s="48">
        <v>300000</v>
      </c>
      <c r="F541" s="131"/>
      <c r="G541" s="48"/>
      <c r="H541" s="49"/>
    </row>
    <row r="542" spans="1:8" s="59" customFormat="1" x14ac:dyDescent="0.25">
      <c r="A542" s="139"/>
      <c r="B542" s="139"/>
      <c r="C542" s="47" t="s">
        <v>502</v>
      </c>
      <c r="D542" s="48">
        <f t="shared" si="177"/>
        <v>300000</v>
      </c>
      <c r="E542" s="48">
        <v>300000</v>
      </c>
      <c r="F542" s="131"/>
      <c r="G542" s="48"/>
      <c r="H542" s="49"/>
    </row>
    <row r="543" spans="1:8" s="59" customFormat="1" x14ac:dyDescent="0.25">
      <c r="A543" s="139"/>
      <c r="B543" s="139"/>
      <c r="C543" s="47" t="s">
        <v>503</v>
      </c>
      <c r="D543" s="48">
        <f t="shared" si="177"/>
        <v>300000</v>
      </c>
      <c r="E543" s="48">
        <v>300000</v>
      </c>
      <c r="F543" s="131"/>
      <c r="G543" s="48"/>
      <c r="H543" s="49"/>
    </row>
    <row r="544" spans="1:8" s="59" customFormat="1" x14ac:dyDescent="0.25">
      <c r="A544" s="139"/>
      <c r="B544" s="139"/>
      <c r="C544" s="47" t="s">
        <v>504</v>
      </c>
      <c r="D544" s="48">
        <f t="shared" si="177"/>
        <v>300000</v>
      </c>
      <c r="E544" s="48">
        <v>300000</v>
      </c>
      <c r="F544" s="131"/>
      <c r="G544" s="48"/>
      <c r="H544" s="49"/>
    </row>
    <row r="545" spans="1:8" s="59" customFormat="1" x14ac:dyDescent="0.25">
      <c r="A545" s="139"/>
      <c r="B545" s="139"/>
      <c r="C545" s="47" t="s">
        <v>505</v>
      </c>
      <c r="D545" s="48">
        <f t="shared" si="177"/>
        <v>300000</v>
      </c>
      <c r="E545" s="48">
        <v>300000</v>
      </c>
      <c r="F545" s="131"/>
      <c r="G545" s="48"/>
      <c r="H545" s="49"/>
    </row>
    <row r="546" spans="1:8" s="59" customFormat="1" x14ac:dyDescent="0.25">
      <c r="A546" s="139"/>
      <c r="B546" s="139"/>
      <c r="C546" s="47" t="s">
        <v>506</v>
      </c>
      <c r="D546" s="48">
        <f t="shared" si="177"/>
        <v>300000</v>
      </c>
      <c r="E546" s="48">
        <v>300000</v>
      </c>
      <c r="F546" s="131"/>
      <c r="G546" s="48"/>
      <c r="H546" s="49"/>
    </row>
    <row r="547" spans="1:8" s="59" customFormat="1" x14ac:dyDescent="0.25">
      <c r="A547" s="140"/>
      <c r="B547" s="140"/>
      <c r="C547" s="47" t="s">
        <v>507</v>
      </c>
      <c r="D547" s="48">
        <f t="shared" si="177"/>
        <v>300000</v>
      </c>
      <c r="E547" s="48">
        <v>300000</v>
      </c>
      <c r="F547" s="131"/>
      <c r="G547" s="48"/>
      <c r="H547" s="49"/>
    </row>
    <row r="548" spans="1:8" s="59" customFormat="1" ht="14.25" x14ac:dyDescent="0.25">
      <c r="A548" s="41"/>
      <c r="B548" s="41"/>
      <c r="C548" s="44" t="s">
        <v>149</v>
      </c>
      <c r="D548" s="62">
        <f>SUM(E548:H548)</f>
        <v>1300000</v>
      </c>
      <c r="E548" s="45">
        <f t="shared" ref="E548:H548" si="178">+E549+E550+E551+E552+E553</f>
        <v>1300000</v>
      </c>
      <c r="F548" s="130">
        <f t="shared" si="178"/>
        <v>0</v>
      </c>
      <c r="G548" s="45">
        <f t="shared" si="178"/>
        <v>0</v>
      </c>
      <c r="H548" s="45">
        <f t="shared" si="178"/>
        <v>0</v>
      </c>
    </row>
    <row r="549" spans="1:8" s="59" customFormat="1" x14ac:dyDescent="0.25">
      <c r="A549" s="141"/>
      <c r="B549" s="141"/>
      <c r="C549" s="47" t="s">
        <v>508</v>
      </c>
      <c r="D549" s="48">
        <f t="shared" si="177"/>
        <v>100000</v>
      </c>
      <c r="E549" s="48">
        <v>100000</v>
      </c>
      <c r="F549" s="131"/>
      <c r="G549" s="48"/>
      <c r="H549" s="49"/>
    </row>
    <row r="550" spans="1:8" s="59" customFormat="1" x14ac:dyDescent="0.25">
      <c r="A550" s="139"/>
      <c r="B550" s="139"/>
      <c r="C550" s="47" t="s">
        <v>509</v>
      </c>
      <c r="D550" s="48">
        <f t="shared" si="177"/>
        <v>300000</v>
      </c>
      <c r="E550" s="48">
        <v>300000</v>
      </c>
      <c r="F550" s="131"/>
      <c r="G550" s="48"/>
      <c r="H550" s="49"/>
    </row>
    <row r="551" spans="1:8" s="59" customFormat="1" ht="15.6" customHeight="1" x14ac:dyDescent="0.25">
      <c r="A551" s="139"/>
      <c r="B551" s="139"/>
      <c r="C551" s="47" t="s">
        <v>510</v>
      </c>
      <c r="D551" s="48">
        <f t="shared" si="177"/>
        <v>300000</v>
      </c>
      <c r="E551" s="48">
        <v>300000</v>
      </c>
      <c r="F551" s="131"/>
      <c r="G551" s="48"/>
      <c r="H551" s="49"/>
    </row>
    <row r="552" spans="1:8" s="59" customFormat="1" x14ac:dyDescent="0.25">
      <c r="A552" s="139"/>
      <c r="B552" s="139"/>
      <c r="C552" s="79" t="s">
        <v>511</v>
      </c>
      <c r="D552" s="48">
        <f t="shared" si="177"/>
        <v>300000</v>
      </c>
      <c r="E552" s="48">
        <v>300000</v>
      </c>
      <c r="F552" s="131"/>
      <c r="G552" s="48"/>
      <c r="H552" s="49"/>
    </row>
    <row r="553" spans="1:8" s="59" customFormat="1" x14ac:dyDescent="0.25">
      <c r="A553" s="140"/>
      <c r="B553" s="140"/>
      <c r="C553" s="79" t="s">
        <v>512</v>
      </c>
      <c r="D553" s="48">
        <f t="shared" si="177"/>
        <v>300000</v>
      </c>
      <c r="E553" s="48">
        <v>300000</v>
      </c>
      <c r="F553" s="131"/>
      <c r="G553" s="48"/>
      <c r="H553" s="49"/>
    </row>
    <row r="554" spans="1:8" s="59" customFormat="1" ht="14.25" x14ac:dyDescent="0.25">
      <c r="A554" s="41"/>
      <c r="B554" s="41"/>
      <c r="C554" s="44" t="s">
        <v>152</v>
      </c>
      <c r="D554" s="62">
        <f>SUM(E554:H554)</f>
        <v>1200000</v>
      </c>
      <c r="E554" s="45">
        <f t="shared" ref="E554:H554" si="179">+E555+E556+E557+E558</f>
        <v>1200000</v>
      </c>
      <c r="F554" s="130">
        <f t="shared" si="179"/>
        <v>0</v>
      </c>
      <c r="G554" s="45">
        <f t="shared" si="179"/>
        <v>0</v>
      </c>
      <c r="H554" s="45">
        <f t="shared" si="179"/>
        <v>0</v>
      </c>
    </row>
    <row r="555" spans="1:8" s="59" customFormat="1" x14ac:dyDescent="0.25">
      <c r="A555" s="141"/>
      <c r="B555" s="141"/>
      <c r="C555" s="47" t="s">
        <v>513</v>
      </c>
      <c r="D555" s="48">
        <f t="shared" ref="D555:D558" si="180">+E555+F555+G555+H555</f>
        <v>300000</v>
      </c>
      <c r="E555" s="48">
        <v>300000</v>
      </c>
      <c r="F555" s="131"/>
      <c r="G555" s="48"/>
      <c r="H555" s="49"/>
    </row>
    <row r="556" spans="1:8" s="59" customFormat="1" x14ac:dyDescent="0.25">
      <c r="A556" s="139"/>
      <c r="B556" s="139"/>
      <c r="C556" s="47" t="s">
        <v>514</v>
      </c>
      <c r="D556" s="48">
        <f t="shared" si="180"/>
        <v>300000</v>
      </c>
      <c r="E556" s="48">
        <v>300000</v>
      </c>
      <c r="F556" s="131"/>
      <c r="G556" s="48"/>
      <c r="H556" s="49"/>
    </row>
    <row r="557" spans="1:8" s="59" customFormat="1" x14ac:dyDescent="0.25">
      <c r="A557" s="139"/>
      <c r="B557" s="139"/>
      <c r="C557" s="47" t="s">
        <v>515</v>
      </c>
      <c r="D557" s="48">
        <f t="shared" si="180"/>
        <v>300000</v>
      </c>
      <c r="E557" s="48">
        <v>300000</v>
      </c>
      <c r="F557" s="131"/>
      <c r="G557" s="48"/>
      <c r="H557" s="49"/>
    </row>
    <row r="558" spans="1:8" s="59" customFormat="1" x14ac:dyDescent="0.25">
      <c r="A558" s="140"/>
      <c r="B558" s="140"/>
      <c r="C558" s="47" t="s">
        <v>516</v>
      </c>
      <c r="D558" s="48">
        <f t="shared" si="180"/>
        <v>300000</v>
      </c>
      <c r="E558" s="48">
        <v>300000</v>
      </c>
      <c r="F558" s="131"/>
      <c r="G558" s="48"/>
      <c r="H558" s="49"/>
    </row>
    <row r="559" spans="1:8" s="59" customFormat="1" ht="14.25" x14ac:dyDescent="0.25">
      <c r="A559" s="41"/>
      <c r="B559" s="41"/>
      <c r="C559" s="44" t="s">
        <v>185</v>
      </c>
      <c r="D559" s="45">
        <f>SUM(E559:H559)</f>
        <v>2100000</v>
      </c>
      <c r="E559" s="45">
        <f t="shared" ref="E559:H559" si="181">+E560+E561+E562+E563+E564+E565+E566</f>
        <v>2100000</v>
      </c>
      <c r="F559" s="130">
        <f t="shared" si="181"/>
        <v>0</v>
      </c>
      <c r="G559" s="45">
        <f t="shared" si="181"/>
        <v>0</v>
      </c>
      <c r="H559" s="45">
        <f t="shared" si="181"/>
        <v>0</v>
      </c>
    </row>
    <row r="560" spans="1:8" s="59" customFormat="1" x14ac:dyDescent="0.25">
      <c r="A560" s="141"/>
      <c r="B560" s="141"/>
      <c r="C560" s="47" t="s">
        <v>517</v>
      </c>
      <c r="D560" s="48">
        <f>+E560+F560+G560+H560</f>
        <v>300000</v>
      </c>
      <c r="E560" s="48">
        <v>300000</v>
      </c>
      <c r="F560" s="131"/>
      <c r="G560" s="48"/>
      <c r="H560" s="49"/>
    </row>
    <row r="561" spans="1:8" s="59" customFormat="1" x14ac:dyDescent="0.25">
      <c r="A561" s="139"/>
      <c r="B561" s="139"/>
      <c r="C561" s="47" t="s">
        <v>518</v>
      </c>
      <c r="D561" s="48">
        <f t="shared" ref="D561:D566" si="182">+E561+F561+G561+H561</f>
        <v>300000</v>
      </c>
      <c r="E561" s="48">
        <v>300000</v>
      </c>
      <c r="F561" s="131"/>
      <c r="G561" s="48"/>
      <c r="H561" s="49"/>
    </row>
    <row r="562" spans="1:8" s="59" customFormat="1" x14ac:dyDescent="0.25">
      <c r="A562" s="139"/>
      <c r="B562" s="139"/>
      <c r="C562" s="47" t="s">
        <v>519</v>
      </c>
      <c r="D562" s="48">
        <f t="shared" si="182"/>
        <v>300000</v>
      </c>
      <c r="E562" s="48">
        <v>300000</v>
      </c>
      <c r="F562" s="131"/>
      <c r="G562" s="48"/>
      <c r="H562" s="49"/>
    </row>
    <row r="563" spans="1:8" s="59" customFormat="1" x14ac:dyDescent="0.25">
      <c r="A563" s="139"/>
      <c r="B563" s="139"/>
      <c r="C563" s="47" t="s">
        <v>520</v>
      </c>
      <c r="D563" s="48">
        <f t="shared" si="182"/>
        <v>300000</v>
      </c>
      <c r="E563" s="48">
        <v>300000</v>
      </c>
      <c r="F563" s="131"/>
      <c r="G563" s="48"/>
      <c r="H563" s="49"/>
    </row>
    <row r="564" spans="1:8" s="59" customFormat="1" x14ac:dyDescent="0.25">
      <c r="A564" s="139"/>
      <c r="B564" s="139"/>
      <c r="C564" s="47" t="s">
        <v>521</v>
      </c>
      <c r="D564" s="48">
        <f t="shared" si="182"/>
        <v>300000</v>
      </c>
      <c r="E564" s="48">
        <v>300000</v>
      </c>
      <c r="F564" s="131"/>
      <c r="G564" s="48"/>
      <c r="H564" s="49"/>
    </row>
    <row r="565" spans="1:8" s="59" customFormat="1" x14ac:dyDescent="0.25">
      <c r="A565" s="139"/>
      <c r="B565" s="139"/>
      <c r="C565" s="47" t="s">
        <v>522</v>
      </c>
      <c r="D565" s="48">
        <f t="shared" si="182"/>
        <v>300000</v>
      </c>
      <c r="E565" s="48">
        <v>300000</v>
      </c>
      <c r="F565" s="131"/>
      <c r="G565" s="48"/>
      <c r="H565" s="49"/>
    </row>
    <row r="566" spans="1:8" s="59" customFormat="1" x14ac:dyDescent="0.25">
      <c r="A566" s="139"/>
      <c r="B566" s="139"/>
      <c r="C566" s="47" t="s">
        <v>523</v>
      </c>
      <c r="D566" s="48">
        <f t="shared" si="182"/>
        <v>300000</v>
      </c>
      <c r="E566" s="48">
        <v>300000</v>
      </c>
      <c r="F566" s="131"/>
      <c r="G566" s="48"/>
      <c r="H566" s="49"/>
    </row>
    <row r="567" spans="1:8" s="59" customFormat="1" ht="14.25" x14ac:dyDescent="0.25">
      <c r="A567" s="41"/>
      <c r="B567" s="41"/>
      <c r="C567" s="44" t="s">
        <v>157</v>
      </c>
      <c r="D567" s="45">
        <f>SUM(E567:H567)</f>
        <v>2700000</v>
      </c>
      <c r="E567" s="45">
        <f t="shared" ref="E567:H567" si="183">+E568+E569+E570+E571+E572+E573+E574+E575+E576</f>
        <v>2700000</v>
      </c>
      <c r="F567" s="130">
        <f t="shared" si="183"/>
        <v>0</v>
      </c>
      <c r="G567" s="45">
        <f t="shared" si="183"/>
        <v>0</v>
      </c>
      <c r="H567" s="45">
        <f t="shared" si="183"/>
        <v>0</v>
      </c>
    </row>
    <row r="568" spans="1:8" s="59" customFormat="1" x14ac:dyDescent="0.25">
      <c r="A568" s="141"/>
      <c r="B568" s="141"/>
      <c r="C568" s="47" t="s">
        <v>524</v>
      </c>
      <c r="D568" s="48">
        <f t="shared" ref="D568:D576" si="184">+E568+F568+G568+H568</f>
        <v>300000</v>
      </c>
      <c r="E568" s="48">
        <v>300000</v>
      </c>
      <c r="F568" s="131"/>
      <c r="G568" s="48"/>
      <c r="H568" s="49"/>
    </row>
    <row r="569" spans="1:8" s="59" customFormat="1" x14ac:dyDescent="0.25">
      <c r="A569" s="139"/>
      <c r="B569" s="139"/>
      <c r="C569" s="47" t="s">
        <v>525</v>
      </c>
      <c r="D569" s="48">
        <f t="shared" si="184"/>
        <v>300000</v>
      </c>
      <c r="E569" s="48">
        <v>300000</v>
      </c>
      <c r="F569" s="131"/>
      <c r="G569" s="48"/>
      <c r="H569" s="49"/>
    </row>
    <row r="570" spans="1:8" s="59" customFormat="1" x14ac:dyDescent="0.25">
      <c r="A570" s="139"/>
      <c r="B570" s="139"/>
      <c r="C570" s="47" t="s">
        <v>526</v>
      </c>
      <c r="D570" s="48">
        <f t="shared" si="184"/>
        <v>300000</v>
      </c>
      <c r="E570" s="48">
        <v>300000</v>
      </c>
      <c r="F570" s="131"/>
      <c r="G570" s="48"/>
      <c r="H570" s="49"/>
    </row>
    <row r="571" spans="1:8" s="59" customFormat="1" x14ac:dyDescent="0.25">
      <c r="A571" s="139"/>
      <c r="B571" s="139"/>
      <c r="C571" s="47" t="s">
        <v>527</v>
      </c>
      <c r="D571" s="48">
        <f t="shared" si="184"/>
        <v>300000</v>
      </c>
      <c r="E571" s="48">
        <v>300000</v>
      </c>
      <c r="F571" s="131"/>
      <c r="G571" s="48"/>
      <c r="H571" s="49"/>
    </row>
    <row r="572" spans="1:8" s="59" customFormat="1" ht="27" x14ac:dyDescent="0.25">
      <c r="A572" s="139"/>
      <c r="B572" s="139"/>
      <c r="C572" s="47" t="s">
        <v>528</v>
      </c>
      <c r="D572" s="48">
        <f t="shared" si="184"/>
        <v>300000</v>
      </c>
      <c r="E572" s="48">
        <v>300000</v>
      </c>
      <c r="F572" s="131"/>
      <c r="G572" s="48"/>
      <c r="H572" s="49"/>
    </row>
    <row r="573" spans="1:8" s="59" customFormat="1" x14ac:dyDescent="0.25">
      <c r="A573" s="139"/>
      <c r="B573" s="139"/>
      <c r="C573" s="47" t="s">
        <v>529</v>
      </c>
      <c r="D573" s="48">
        <f t="shared" si="184"/>
        <v>300000</v>
      </c>
      <c r="E573" s="48">
        <v>300000</v>
      </c>
      <c r="F573" s="131"/>
      <c r="G573" s="48"/>
      <c r="H573" s="49"/>
    </row>
    <row r="574" spans="1:8" s="59" customFormat="1" x14ac:dyDescent="0.25">
      <c r="A574" s="139"/>
      <c r="B574" s="139"/>
      <c r="C574" s="47" t="s">
        <v>530</v>
      </c>
      <c r="D574" s="48">
        <f t="shared" si="184"/>
        <v>300000</v>
      </c>
      <c r="E574" s="48">
        <v>300000</v>
      </c>
      <c r="F574" s="131"/>
      <c r="G574" s="48"/>
      <c r="H574" s="49"/>
    </row>
    <row r="575" spans="1:8" s="59" customFormat="1" x14ac:dyDescent="0.25">
      <c r="A575" s="139"/>
      <c r="B575" s="139"/>
      <c r="C575" s="47" t="s">
        <v>531</v>
      </c>
      <c r="D575" s="48">
        <f t="shared" si="184"/>
        <v>300000</v>
      </c>
      <c r="E575" s="48">
        <v>300000</v>
      </c>
      <c r="F575" s="131"/>
      <c r="G575" s="48"/>
      <c r="H575" s="49"/>
    </row>
    <row r="576" spans="1:8" s="59" customFormat="1" x14ac:dyDescent="0.25">
      <c r="A576" s="140"/>
      <c r="B576" s="140"/>
      <c r="C576" s="47" t="s">
        <v>532</v>
      </c>
      <c r="D576" s="48">
        <f t="shared" si="184"/>
        <v>300000</v>
      </c>
      <c r="E576" s="48">
        <v>300000</v>
      </c>
      <c r="F576" s="131"/>
      <c r="G576" s="48"/>
      <c r="H576" s="49"/>
    </row>
    <row r="577" spans="1:8" s="59" customFormat="1" ht="14.25" x14ac:dyDescent="0.25">
      <c r="A577" s="41"/>
      <c r="B577" s="41"/>
      <c r="C577" s="44" t="s">
        <v>154</v>
      </c>
      <c r="D577" s="45">
        <f>SUM(E577:H577)</f>
        <v>300000</v>
      </c>
      <c r="E577" s="45">
        <f t="shared" ref="E577:H577" si="185">+E578</f>
        <v>300000</v>
      </c>
      <c r="F577" s="130">
        <f t="shared" si="185"/>
        <v>0</v>
      </c>
      <c r="G577" s="45">
        <f t="shared" si="185"/>
        <v>0</v>
      </c>
      <c r="H577" s="45">
        <f t="shared" si="185"/>
        <v>0</v>
      </c>
    </row>
    <row r="578" spans="1:8" s="59" customFormat="1" x14ac:dyDescent="0.25">
      <c r="A578" s="46"/>
      <c r="B578" s="46"/>
      <c r="C578" s="47" t="s">
        <v>533</v>
      </c>
      <c r="D578" s="48">
        <f>+E578+F578+G578+H578</f>
        <v>300000</v>
      </c>
      <c r="E578" s="48">
        <v>300000</v>
      </c>
      <c r="F578" s="131"/>
      <c r="G578" s="48"/>
      <c r="H578" s="49"/>
    </row>
    <row r="579" spans="1:8" s="53" customFormat="1" ht="14.25" x14ac:dyDescent="0.25">
      <c r="A579" s="41"/>
      <c r="B579" s="41"/>
      <c r="C579" s="44" t="s">
        <v>159</v>
      </c>
      <c r="D579" s="45">
        <f>SUM(E579:H579)</f>
        <v>1000000</v>
      </c>
      <c r="E579" s="45">
        <f t="shared" ref="E579:H579" si="186">+E580+E581+E582+E583</f>
        <v>1000000</v>
      </c>
      <c r="F579" s="130">
        <f t="shared" si="186"/>
        <v>0</v>
      </c>
      <c r="G579" s="45">
        <f t="shared" si="186"/>
        <v>0</v>
      </c>
      <c r="H579" s="45">
        <f t="shared" si="186"/>
        <v>0</v>
      </c>
    </row>
    <row r="580" spans="1:8" s="59" customFormat="1" x14ac:dyDescent="0.25">
      <c r="A580" s="141"/>
      <c r="B580" s="141"/>
      <c r="C580" s="47" t="s">
        <v>534</v>
      </c>
      <c r="D580" s="48">
        <f t="shared" ref="D580:D583" si="187">+E580+F580+G580+H580</f>
        <v>100000</v>
      </c>
      <c r="E580" s="48">
        <v>100000</v>
      </c>
      <c r="F580" s="131"/>
      <c r="G580" s="48"/>
      <c r="H580" s="49"/>
    </row>
    <row r="581" spans="1:8" s="59" customFormat="1" x14ac:dyDescent="0.25">
      <c r="A581" s="139"/>
      <c r="B581" s="139"/>
      <c r="C581" s="47" t="s">
        <v>535</v>
      </c>
      <c r="D581" s="48">
        <f t="shared" si="187"/>
        <v>300000</v>
      </c>
      <c r="E581" s="48">
        <v>300000</v>
      </c>
      <c r="F581" s="131"/>
      <c r="G581" s="48"/>
      <c r="H581" s="49"/>
    </row>
    <row r="582" spans="1:8" s="59" customFormat="1" x14ac:dyDescent="0.25">
      <c r="A582" s="139"/>
      <c r="B582" s="139"/>
      <c r="C582" s="47" t="s">
        <v>536</v>
      </c>
      <c r="D582" s="48">
        <f t="shared" si="187"/>
        <v>300000</v>
      </c>
      <c r="E582" s="48">
        <v>300000</v>
      </c>
      <c r="F582" s="131"/>
      <c r="G582" s="48"/>
      <c r="H582" s="49"/>
    </row>
    <row r="583" spans="1:8" s="59" customFormat="1" x14ac:dyDescent="0.25">
      <c r="A583" s="139"/>
      <c r="B583" s="139"/>
      <c r="C583" s="47" t="s">
        <v>537</v>
      </c>
      <c r="D583" s="48">
        <f t="shared" si="187"/>
        <v>300000</v>
      </c>
      <c r="E583" s="48">
        <v>300000</v>
      </c>
      <c r="F583" s="131"/>
      <c r="G583" s="48"/>
      <c r="H583" s="49"/>
    </row>
    <row r="584" spans="1:8" s="59" customFormat="1" ht="14.25" x14ac:dyDescent="0.25">
      <c r="A584" s="41"/>
      <c r="B584" s="41"/>
      <c r="C584" s="44" t="s">
        <v>161</v>
      </c>
      <c r="D584" s="45">
        <f>SUM(E584:H584)</f>
        <v>3900000</v>
      </c>
      <c r="E584" s="62">
        <f t="shared" ref="E584:H584" si="188">SUM(E585:E597)</f>
        <v>3900000</v>
      </c>
      <c r="F584" s="133">
        <f t="shared" si="188"/>
        <v>0</v>
      </c>
      <c r="G584" s="62">
        <f t="shared" si="188"/>
        <v>0</v>
      </c>
      <c r="H584" s="62">
        <f t="shared" si="188"/>
        <v>0</v>
      </c>
    </row>
    <row r="585" spans="1:8" s="59" customFormat="1" ht="17.25" customHeight="1" x14ac:dyDescent="0.25">
      <c r="A585" s="139"/>
      <c r="B585" s="139"/>
      <c r="C585" s="47" t="s">
        <v>538</v>
      </c>
      <c r="D585" s="48">
        <f t="shared" ref="D585:D597" si="189">+E585+F585+G585+H585</f>
        <v>300000</v>
      </c>
      <c r="E585" s="48">
        <v>300000</v>
      </c>
      <c r="F585" s="131"/>
      <c r="G585" s="48"/>
      <c r="H585" s="49"/>
    </row>
    <row r="586" spans="1:8" s="59" customFormat="1" x14ac:dyDescent="0.25">
      <c r="A586" s="139"/>
      <c r="B586" s="139"/>
      <c r="C586" s="47" t="s">
        <v>539</v>
      </c>
      <c r="D586" s="48">
        <f t="shared" si="189"/>
        <v>300000</v>
      </c>
      <c r="E586" s="48">
        <v>300000</v>
      </c>
      <c r="F586" s="131"/>
      <c r="G586" s="48"/>
      <c r="H586" s="49"/>
    </row>
    <row r="587" spans="1:8" s="59" customFormat="1" x14ac:dyDescent="0.25">
      <c r="A587" s="139"/>
      <c r="B587" s="139"/>
      <c r="C587" s="47" t="s">
        <v>540</v>
      </c>
      <c r="D587" s="48">
        <f t="shared" si="189"/>
        <v>300000</v>
      </c>
      <c r="E587" s="48">
        <v>300000</v>
      </c>
      <c r="F587" s="131"/>
      <c r="G587" s="48"/>
      <c r="H587" s="49"/>
    </row>
    <row r="588" spans="1:8" s="59" customFormat="1" x14ac:dyDescent="0.25">
      <c r="A588" s="139"/>
      <c r="B588" s="139"/>
      <c r="C588" s="47" t="s">
        <v>541</v>
      </c>
      <c r="D588" s="48">
        <f t="shared" si="189"/>
        <v>300000</v>
      </c>
      <c r="E588" s="48">
        <v>300000</v>
      </c>
      <c r="F588" s="131"/>
      <c r="G588" s="48"/>
      <c r="H588" s="49"/>
    </row>
    <row r="589" spans="1:8" s="59" customFormat="1" x14ac:dyDescent="0.25">
      <c r="A589" s="139"/>
      <c r="B589" s="139"/>
      <c r="C589" s="47" t="s">
        <v>542</v>
      </c>
      <c r="D589" s="48">
        <f t="shared" si="189"/>
        <v>300000</v>
      </c>
      <c r="E589" s="48">
        <v>300000</v>
      </c>
      <c r="F589" s="131"/>
      <c r="G589" s="48"/>
      <c r="H589" s="49"/>
    </row>
    <row r="590" spans="1:8" s="59" customFormat="1" x14ac:dyDescent="0.25">
      <c r="A590" s="139"/>
      <c r="B590" s="139"/>
      <c r="C590" s="47" t="s">
        <v>543</v>
      </c>
      <c r="D590" s="48">
        <f t="shared" si="189"/>
        <v>300000</v>
      </c>
      <c r="E590" s="48">
        <v>300000</v>
      </c>
      <c r="F590" s="131"/>
      <c r="G590" s="48"/>
      <c r="H590" s="49"/>
    </row>
    <row r="591" spans="1:8" s="59" customFormat="1" x14ac:dyDescent="0.25">
      <c r="A591" s="139"/>
      <c r="B591" s="139"/>
      <c r="C591" s="47" t="s">
        <v>544</v>
      </c>
      <c r="D591" s="48">
        <f t="shared" si="189"/>
        <v>300000</v>
      </c>
      <c r="E591" s="48">
        <v>300000</v>
      </c>
      <c r="F591" s="131"/>
      <c r="G591" s="48"/>
      <c r="H591" s="49"/>
    </row>
    <row r="592" spans="1:8" s="59" customFormat="1" x14ac:dyDescent="0.25">
      <c r="A592" s="139"/>
      <c r="B592" s="139"/>
      <c r="C592" s="47" t="s">
        <v>545</v>
      </c>
      <c r="D592" s="48">
        <f t="shared" si="189"/>
        <v>300000</v>
      </c>
      <c r="E592" s="48">
        <v>300000</v>
      </c>
      <c r="F592" s="131"/>
      <c r="G592" s="48"/>
      <c r="H592" s="49"/>
    </row>
    <row r="593" spans="1:8" s="59" customFormat="1" x14ac:dyDescent="0.25">
      <c r="A593" s="139"/>
      <c r="B593" s="139"/>
      <c r="C593" s="47" t="s">
        <v>546</v>
      </c>
      <c r="D593" s="48">
        <f t="shared" si="189"/>
        <v>300000</v>
      </c>
      <c r="E593" s="48">
        <v>300000</v>
      </c>
      <c r="F593" s="131"/>
      <c r="G593" s="48"/>
      <c r="H593" s="49"/>
    </row>
    <row r="594" spans="1:8" s="59" customFormat="1" ht="19.5" customHeight="1" x14ac:dyDescent="0.25">
      <c r="A594" s="139"/>
      <c r="B594" s="139"/>
      <c r="C594" s="47" t="s">
        <v>547</v>
      </c>
      <c r="D594" s="48">
        <f t="shared" si="189"/>
        <v>300000</v>
      </c>
      <c r="E594" s="48">
        <v>300000</v>
      </c>
      <c r="F594" s="131"/>
      <c r="G594" s="48"/>
      <c r="H594" s="49"/>
    </row>
    <row r="595" spans="1:8" s="59" customFormat="1" x14ac:dyDescent="0.25">
      <c r="A595" s="139"/>
      <c r="B595" s="139"/>
      <c r="C595" s="47" t="s">
        <v>548</v>
      </c>
      <c r="D595" s="48">
        <f t="shared" si="189"/>
        <v>300000</v>
      </c>
      <c r="E595" s="48">
        <v>300000</v>
      </c>
      <c r="F595" s="131"/>
      <c r="G595" s="48"/>
      <c r="H595" s="49"/>
    </row>
    <row r="596" spans="1:8" s="59" customFormat="1" x14ac:dyDescent="0.25">
      <c r="A596" s="139"/>
      <c r="B596" s="139"/>
      <c r="C596" s="47" t="s">
        <v>549</v>
      </c>
      <c r="D596" s="48">
        <f t="shared" si="189"/>
        <v>300000</v>
      </c>
      <c r="E596" s="48">
        <v>300000</v>
      </c>
      <c r="F596" s="131"/>
      <c r="G596" s="48"/>
      <c r="H596" s="49"/>
    </row>
    <row r="597" spans="1:8" s="59" customFormat="1" x14ac:dyDescent="0.25">
      <c r="A597" s="140"/>
      <c r="B597" s="140"/>
      <c r="C597" s="47" t="s">
        <v>550</v>
      </c>
      <c r="D597" s="48">
        <f t="shared" si="189"/>
        <v>300000</v>
      </c>
      <c r="E597" s="48">
        <v>300000</v>
      </c>
      <c r="F597" s="131"/>
      <c r="G597" s="48"/>
      <c r="H597" s="49"/>
    </row>
    <row r="598" spans="1:8" s="53" customFormat="1" ht="14.25" x14ac:dyDescent="0.25">
      <c r="A598" s="41"/>
      <c r="B598" s="41"/>
      <c r="C598" s="44" t="s">
        <v>269</v>
      </c>
      <c r="D598" s="45">
        <f>SUM(E598:H598)</f>
        <v>900000</v>
      </c>
      <c r="E598" s="45">
        <f t="shared" ref="E598:H598" si="190">+E599+E600+E601</f>
        <v>900000</v>
      </c>
      <c r="F598" s="130">
        <f t="shared" si="190"/>
        <v>0</v>
      </c>
      <c r="G598" s="45">
        <f t="shared" si="190"/>
        <v>0</v>
      </c>
      <c r="H598" s="45">
        <f t="shared" si="190"/>
        <v>0</v>
      </c>
    </row>
    <row r="599" spans="1:8" s="59" customFormat="1" x14ac:dyDescent="0.25">
      <c r="A599" s="139"/>
      <c r="B599" s="139"/>
      <c r="C599" s="47" t="s">
        <v>551</v>
      </c>
      <c r="D599" s="48">
        <f t="shared" ref="D599:D601" si="191">+E599+F599+G599+H599</f>
        <v>300000</v>
      </c>
      <c r="E599" s="48">
        <v>300000</v>
      </c>
      <c r="F599" s="131"/>
      <c r="G599" s="48"/>
      <c r="H599" s="49"/>
    </row>
    <row r="600" spans="1:8" s="59" customFormat="1" x14ac:dyDescent="0.25">
      <c r="A600" s="139"/>
      <c r="B600" s="139"/>
      <c r="C600" s="47" t="s">
        <v>552</v>
      </c>
      <c r="D600" s="48">
        <f t="shared" si="191"/>
        <v>300000</v>
      </c>
      <c r="E600" s="48">
        <v>300000</v>
      </c>
      <c r="F600" s="131"/>
      <c r="G600" s="48"/>
      <c r="H600" s="49"/>
    </row>
    <row r="601" spans="1:8" s="59" customFormat="1" x14ac:dyDescent="0.25">
      <c r="A601" s="140"/>
      <c r="B601" s="140"/>
      <c r="C601" s="47" t="s">
        <v>553</v>
      </c>
      <c r="D601" s="48">
        <f t="shared" si="191"/>
        <v>300000</v>
      </c>
      <c r="E601" s="48">
        <v>300000</v>
      </c>
      <c r="F601" s="131"/>
      <c r="G601" s="48"/>
      <c r="H601" s="49"/>
    </row>
    <row r="602" spans="1:8" s="53" customFormat="1" ht="14.25" x14ac:dyDescent="0.25">
      <c r="A602" s="41"/>
      <c r="B602" s="41"/>
      <c r="C602" s="44" t="s">
        <v>203</v>
      </c>
      <c r="D602" s="45">
        <f>SUM(E602:H602)</f>
        <v>1000000</v>
      </c>
      <c r="E602" s="45">
        <f t="shared" ref="E602:H602" si="192">SUM(E603:E606)</f>
        <v>1000000</v>
      </c>
      <c r="F602" s="130">
        <f t="shared" si="192"/>
        <v>0</v>
      </c>
      <c r="G602" s="45">
        <f t="shared" si="192"/>
        <v>0</v>
      </c>
      <c r="H602" s="45">
        <f t="shared" si="192"/>
        <v>0</v>
      </c>
    </row>
    <row r="603" spans="1:8" s="59" customFormat="1" x14ac:dyDescent="0.25">
      <c r="A603" s="141"/>
      <c r="B603" s="141"/>
      <c r="C603" s="47" t="s">
        <v>554</v>
      </c>
      <c r="D603" s="48">
        <f>+E603+F603+G603+H603</f>
        <v>300000</v>
      </c>
      <c r="E603" s="48">
        <v>300000</v>
      </c>
      <c r="F603" s="131"/>
      <c r="G603" s="48"/>
      <c r="H603" s="49"/>
    </row>
    <row r="604" spans="1:8" s="59" customFormat="1" x14ac:dyDescent="0.25">
      <c r="A604" s="139"/>
      <c r="B604" s="139"/>
      <c r="C604" s="47" t="s">
        <v>555</v>
      </c>
      <c r="D604" s="48">
        <f t="shared" ref="D604:D606" si="193">+E604+F604+G604+H604</f>
        <v>100000</v>
      </c>
      <c r="E604" s="48">
        <v>100000</v>
      </c>
      <c r="F604" s="131"/>
      <c r="G604" s="48"/>
      <c r="H604" s="49"/>
    </row>
    <row r="605" spans="1:8" s="59" customFormat="1" x14ac:dyDescent="0.25">
      <c r="A605" s="139"/>
      <c r="B605" s="139"/>
      <c r="C605" s="47" t="s">
        <v>526</v>
      </c>
      <c r="D605" s="48">
        <f t="shared" si="193"/>
        <v>300000</v>
      </c>
      <c r="E605" s="48">
        <v>300000</v>
      </c>
      <c r="F605" s="131"/>
      <c r="G605" s="48"/>
      <c r="H605" s="49"/>
    </row>
    <row r="606" spans="1:8" s="59" customFormat="1" x14ac:dyDescent="0.25">
      <c r="A606" s="140"/>
      <c r="B606" s="140"/>
      <c r="C606" s="47" t="s">
        <v>556</v>
      </c>
      <c r="D606" s="48">
        <f t="shared" si="193"/>
        <v>300000</v>
      </c>
      <c r="E606" s="48">
        <v>300000</v>
      </c>
      <c r="F606" s="131"/>
      <c r="G606" s="48"/>
      <c r="H606" s="49"/>
    </row>
    <row r="607" spans="1:8" s="39" customFormat="1" ht="28.5" x14ac:dyDescent="0.2">
      <c r="A607" s="36">
        <v>1236</v>
      </c>
      <c r="B607" s="36">
        <v>32006</v>
      </c>
      <c r="C607" s="37" t="s">
        <v>557</v>
      </c>
      <c r="D607" s="38">
        <f>SUM(E607:H607)</f>
        <v>9423201.1999999993</v>
      </c>
      <c r="E607" s="38">
        <v>0</v>
      </c>
      <c r="F607" s="128">
        <v>0</v>
      </c>
      <c r="G607" s="38">
        <v>0</v>
      </c>
      <c r="H607" s="38">
        <f>6423201.2+3000000</f>
        <v>9423201.1999999993</v>
      </c>
    </row>
    <row r="608" spans="1:8" s="39" customFormat="1" ht="14.25" x14ac:dyDescent="0.2">
      <c r="A608" s="36">
        <v>1240</v>
      </c>
      <c r="B608" s="36">
        <v>32001</v>
      </c>
      <c r="C608" s="37" t="s">
        <v>558</v>
      </c>
      <c r="D608" s="38">
        <f>SUM(E608:H608)</f>
        <v>3228515.7</v>
      </c>
      <c r="E608" s="38">
        <v>0</v>
      </c>
      <c r="F608" s="128">
        <v>0</v>
      </c>
      <c r="G608" s="38">
        <v>3228515.7</v>
      </c>
      <c r="H608" s="38">
        <v>0</v>
      </c>
    </row>
    <row r="609" spans="1:8" ht="14.25" x14ac:dyDescent="0.25">
      <c r="A609" s="5"/>
      <c r="B609" s="5"/>
      <c r="C609" s="3" t="s">
        <v>69</v>
      </c>
      <c r="D609" s="6">
        <v>303740786.39999998</v>
      </c>
      <c r="E609" s="6">
        <v>303350536.39999998</v>
      </c>
      <c r="F609" s="6">
        <v>0</v>
      </c>
      <c r="G609" s="6">
        <v>0</v>
      </c>
      <c r="H609" s="6">
        <v>390250</v>
      </c>
    </row>
    <row r="610" spans="1:8" x14ac:dyDescent="0.25">
      <c r="A610" s="5"/>
      <c r="B610" s="5"/>
      <c r="C610" s="7" t="s">
        <v>14</v>
      </c>
      <c r="D610" s="8"/>
      <c r="E610" s="8"/>
      <c r="F610" s="122"/>
      <c r="G610" s="8"/>
      <c r="H610" s="8"/>
    </row>
    <row r="611" spans="1:8" x14ac:dyDescent="0.25">
      <c r="A611" s="7" t="s">
        <v>70</v>
      </c>
      <c r="B611" s="7" t="s">
        <v>57</v>
      </c>
      <c r="C611" s="8" t="s">
        <v>71</v>
      </c>
      <c r="D611" s="9">
        <v>303350536.39999998</v>
      </c>
      <c r="E611" s="9">
        <v>303350536.39999998</v>
      </c>
      <c r="F611" s="9">
        <v>0</v>
      </c>
      <c r="G611" s="9">
        <v>0</v>
      </c>
      <c r="H611" s="9">
        <v>0</v>
      </c>
    </row>
    <row r="612" spans="1:8" x14ac:dyDescent="0.25">
      <c r="A612" s="7" t="s">
        <v>72</v>
      </c>
      <c r="B612" s="7" t="s">
        <v>57</v>
      </c>
      <c r="C612" s="8" t="s">
        <v>73</v>
      </c>
      <c r="D612" s="9">
        <v>390250</v>
      </c>
      <c r="E612" s="9">
        <v>0</v>
      </c>
      <c r="F612" s="9">
        <v>0</v>
      </c>
      <c r="G612" s="9">
        <v>0</v>
      </c>
      <c r="H612" s="9">
        <v>390250</v>
      </c>
    </row>
    <row r="613" spans="1:8" ht="14.25" x14ac:dyDescent="0.25">
      <c r="A613" s="5"/>
      <c r="B613" s="5"/>
      <c r="C613" s="3" t="s">
        <v>74</v>
      </c>
      <c r="D613" s="6">
        <v>2356562.4</v>
      </c>
      <c r="E613" s="6">
        <v>651221</v>
      </c>
      <c r="F613" s="6">
        <v>1705341.4</v>
      </c>
      <c r="G613" s="6">
        <v>0</v>
      </c>
      <c r="H613" s="6">
        <v>0</v>
      </c>
    </row>
    <row r="614" spans="1:8" x14ac:dyDescent="0.25">
      <c r="A614" s="5"/>
      <c r="B614" s="5"/>
      <c r="C614" s="7" t="s">
        <v>14</v>
      </c>
      <c r="D614" s="8"/>
      <c r="E614" s="8"/>
      <c r="F614" s="122"/>
      <c r="G614" s="8"/>
      <c r="H614" s="8"/>
    </row>
    <row r="615" spans="1:8" x14ac:dyDescent="0.25">
      <c r="A615" s="7" t="s">
        <v>75</v>
      </c>
      <c r="B615" s="7" t="s">
        <v>47</v>
      </c>
      <c r="C615" s="8" t="s">
        <v>76</v>
      </c>
      <c r="D615" s="9">
        <v>206107.1</v>
      </c>
      <c r="E615" s="9">
        <v>0</v>
      </c>
      <c r="F615" s="9">
        <v>206107.1</v>
      </c>
      <c r="G615" s="9">
        <v>0</v>
      </c>
      <c r="H615" s="9">
        <v>0</v>
      </c>
    </row>
    <row r="616" spans="1:8" ht="54" customHeight="1" x14ac:dyDescent="0.25">
      <c r="A616" s="7" t="s">
        <v>77</v>
      </c>
      <c r="B616" s="7" t="s">
        <v>66</v>
      </c>
      <c r="C616" s="8" t="s">
        <v>78</v>
      </c>
      <c r="D616" s="9">
        <v>1499234.3</v>
      </c>
      <c r="E616" s="9">
        <v>0</v>
      </c>
      <c r="F616" s="9">
        <v>1499234.3</v>
      </c>
      <c r="G616" s="9">
        <v>0</v>
      </c>
      <c r="H616" s="9">
        <v>0</v>
      </c>
    </row>
    <row r="617" spans="1:8" ht="27" x14ac:dyDescent="0.25">
      <c r="A617" s="7" t="s">
        <v>79</v>
      </c>
      <c r="B617" s="7" t="s">
        <v>47</v>
      </c>
      <c r="C617" s="8" t="s">
        <v>80</v>
      </c>
      <c r="D617" s="9">
        <v>651221</v>
      </c>
      <c r="E617" s="9">
        <v>651221</v>
      </c>
      <c r="F617" s="9">
        <v>0</v>
      </c>
      <c r="G617" s="9">
        <v>0</v>
      </c>
      <c r="H617" s="9">
        <v>0</v>
      </c>
    </row>
    <row r="618" spans="1:8" ht="14.25" x14ac:dyDescent="0.25">
      <c r="A618" s="5"/>
      <c r="B618" s="5"/>
      <c r="C618" s="3" t="s">
        <v>81</v>
      </c>
      <c r="D618" s="6">
        <v>5000000</v>
      </c>
      <c r="E618" s="6">
        <v>0</v>
      </c>
      <c r="F618" s="6">
        <v>0</v>
      </c>
      <c r="G618" s="6">
        <v>0</v>
      </c>
      <c r="H618" s="6">
        <v>5000000</v>
      </c>
    </row>
    <row r="619" spans="1:8" x14ac:dyDescent="0.25">
      <c r="A619" s="5"/>
      <c r="B619" s="5"/>
      <c r="C619" s="7" t="s">
        <v>14</v>
      </c>
      <c r="D619" s="8"/>
      <c r="E619" s="8"/>
      <c r="F619" s="122"/>
      <c r="G619" s="8"/>
      <c r="H619" s="8"/>
    </row>
    <row r="620" spans="1:8" x14ac:dyDescent="0.25">
      <c r="A620" s="7" t="s">
        <v>82</v>
      </c>
      <c r="B620" s="7" t="s">
        <v>57</v>
      </c>
      <c r="C620" s="8" t="s">
        <v>83</v>
      </c>
      <c r="D620" s="9">
        <v>5000000</v>
      </c>
      <c r="E620" s="9">
        <v>0</v>
      </c>
      <c r="F620" s="9">
        <v>0</v>
      </c>
      <c r="G620" s="9">
        <v>0</v>
      </c>
      <c r="H620" s="9">
        <v>5000000</v>
      </c>
    </row>
    <row r="621" spans="1:8" ht="14.25" x14ac:dyDescent="0.25">
      <c r="A621" s="5"/>
      <c r="B621" s="5"/>
      <c r="C621" s="3" t="s">
        <v>84</v>
      </c>
      <c r="D621" s="6">
        <v>1193317.1000000001</v>
      </c>
      <c r="E621" s="6">
        <v>700000</v>
      </c>
      <c r="F621" s="6">
        <v>0</v>
      </c>
      <c r="G621" s="6">
        <v>0</v>
      </c>
      <c r="H621" s="6">
        <v>493317.1</v>
      </c>
    </row>
    <row r="622" spans="1:8" x14ac:dyDescent="0.25">
      <c r="A622" s="5"/>
      <c r="B622" s="5"/>
      <c r="C622" s="7" t="s">
        <v>14</v>
      </c>
      <c r="D622" s="8"/>
      <c r="E622" s="8"/>
      <c r="F622" s="122"/>
      <c r="G622" s="8"/>
      <c r="H622" s="8"/>
    </row>
    <row r="623" spans="1:8" x14ac:dyDescent="0.25">
      <c r="A623" s="7" t="s">
        <v>85</v>
      </c>
      <c r="B623" s="7" t="s">
        <v>57</v>
      </c>
      <c r="C623" s="8" t="s">
        <v>86</v>
      </c>
      <c r="D623" s="9">
        <v>99150.399999999994</v>
      </c>
      <c r="E623" s="9">
        <v>0</v>
      </c>
      <c r="F623" s="9">
        <v>0</v>
      </c>
      <c r="G623" s="9">
        <v>0</v>
      </c>
      <c r="H623" s="9">
        <v>99150.399999999994</v>
      </c>
    </row>
    <row r="624" spans="1:8" ht="27" x14ac:dyDescent="0.25">
      <c r="A624" s="7" t="s">
        <v>87</v>
      </c>
      <c r="B624" s="7" t="s">
        <v>16</v>
      </c>
      <c r="C624" s="8" t="s">
        <v>88</v>
      </c>
      <c r="D624" s="9">
        <v>394166.7</v>
      </c>
      <c r="E624" s="9">
        <v>0</v>
      </c>
      <c r="F624" s="9">
        <v>0</v>
      </c>
      <c r="G624" s="9">
        <v>0</v>
      </c>
      <c r="H624" s="9">
        <v>394166.7</v>
      </c>
    </row>
    <row r="625" spans="1:8" x14ac:dyDescent="0.25">
      <c r="A625" s="7" t="s">
        <v>89</v>
      </c>
      <c r="B625" s="7" t="s">
        <v>16</v>
      </c>
      <c r="C625" s="8" t="s">
        <v>90</v>
      </c>
      <c r="D625" s="9">
        <v>700000</v>
      </c>
      <c r="E625" s="9">
        <v>700000</v>
      </c>
      <c r="F625" s="9">
        <v>0</v>
      </c>
      <c r="G625" s="9">
        <v>0</v>
      </c>
      <c r="H625" s="9">
        <v>0</v>
      </c>
    </row>
    <row r="626" spans="1:8" ht="14.25" x14ac:dyDescent="0.25">
      <c r="A626" s="5"/>
      <c r="B626" s="5"/>
      <c r="C626" s="3" t="s">
        <v>91</v>
      </c>
      <c r="D626" s="6">
        <v>25970</v>
      </c>
      <c r="E626" s="6">
        <v>0</v>
      </c>
      <c r="F626" s="6">
        <v>0</v>
      </c>
      <c r="G626" s="6">
        <v>17800</v>
      </c>
      <c r="H626" s="6">
        <v>8170</v>
      </c>
    </row>
    <row r="627" spans="1:8" x14ac:dyDescent="0.25">
      <c r="A627" s="5"/>
      <c r="B627" s="5"/>
      <c r="C627" s="7" t="s">
        <v>14</v>
      </c>
      <c r="D627" s="8"/>
      <c r="E627" s="8"/>
      <c r="F627" s="122"/>
      <c r="G627" s="8"/>
      <c r="H627" s="8"/>
    </row>
    <row r="628" spans="1:8" ht="27" x14ac:dyDescent="0.25">
      <c r="A628" s="7" t="s">
        <v>92</v>
      </c>
      <c r="B628" s="7" t="s">
        <v>57</v>
      </c>
      <c r="C628" s="8" t="s">
        <v>93</v>
      </c>
      <c r="D628" s="9">
        <v>8170</v>
      </c>
      <c r="E628" s="9">
        <v>0</v>
      </c>
      <c r="F628" s="9">
        <v>0</v>
      </c>
      <c r="G628" s="9">
        <v>0</v>
      </c>
      <c r="H628" s="9">
        <v>8170</v>
      </c>
    </row>
    <row r="629" spans="1:8" ht="27" x14ac:dyDescent="0.25">
      <c r="A629" s="7" t="s">
        <v>92</v>
      </c>
      <c r="B629" s="7" t="s">
        <v>52</v>
      </c>
      <c r="C629" s="8" t="s">
        <v>94</v>
      </c>
      <c r="D629" s="9">
        <v>17800</v>
      </c>
      <c r="E629" s="9">
        <v>0</v>
      </c>
      <c r="F629" s="9">
        <v>0</v>
      </c>
      <c r="G629" s="9">
        <v>17800</v>
      </c>
      <c r="H629" s="9">
        <v>0</v>
      </c>
    </row>
    <row r="630" spans="1:8" ht="14.25" x14ac:dyDescent="0.25">
      <c r="A630" s="5"/>
      <c r="B630" s="5"/>
      <c r="C630" s="3" t="s">
        <v>95</v>
      </c>
      <c r="D630" s="6">
        <v>48393.1</v>
      </c>
      <c r="E630" s="6">
        <v>0</v>
      </c>
      <c r="F630" s="6">
        <v>0</v>
      </c>
      <c r="G630" s="6">
        <v>48393.1</v>
      </c>
      <c r="H630" s="6">
        <v>0</v>
      </c>
    </row>
    <row r="631" spans="1:8" x14ac:dyDescent="0.25">
      <c r="A631" s="5"/>
      <c r="B631" s="5"/>
      <c r="C631" s="7" t="s">
        <v>14</v>
      </c>
      <c r="D631" s="8"/>
      <c r="E631" s="8"/>
      <c r="F631" s="122"/>
      <c r="G631" s="8"/>
      <c r="H631" s="8"/>
    </row>
    <row r="632" spans="1:8" ht="51" customHeight="1" x14ac:dyDescent="0.25">
      <c r="A632" s="7" t="s">
        <v>96</v>
      </c>
      <c r="B632" s="7" t="s">
        <v>97</v>
      </c>
      <c r="C632" s="8" t="s">
        <v>98</v>
      </c>
      <c r="D632" s="9">
        <v>48393.1</v>
      </c>
      <c r="E632" s="9">
        <v>0</v>
      </c>
      <c r="F632" s="9">
        <v>0</v>
      </c>
      <c r="G632" s="9">
        <v>48393.1</v>
      </c>
      <c r="H632" s="9">
        <v>0</v>
      </c>
    </row>
    <row r="633" spans="1:8" ht="14.25" x14ac:dyDescent="0.25">
      <c r="A633" s="5"/>
      <c r="B633" s="5"/>
      <c r="C633" s="3" t="s">
        <v>99</v>
      </c>
      <c r="D633" s="6">
        <v>643736.4</v>
      </c>
      <c r="E633" s="6">
        <v>400000</v>
      </c>
      <c r="F633" s="6">
        <v>0</v>
      </c>
      <c r="G633" s="6">
        <v>0</v>
      </c>
      <c r="H633" s="6">
        <v>243736.4</v>
      </c>
    </row>
    <row r="634" spans="1:8" x14ac:dyDescent="0.25">
      <c r="A634" s="5"/>
      <c r="B634" s="5"/>
      <c r="C634" s="7" t="s">
        <v>14</v>
      </c>
      <c r="D634" s="8"/>
      <c r="E634" s="8"/>
      <c r="F634" s="122"/>
      <c r="G634" s="8"/>
      <c r="H634" s="8"/>
    </row>
    <row r="635" spans="1:8" x14ac:dyDescent="0.25">
      <c r="A635" s="7" t="s">
        <v>100</v>
      </c>
      <c r="B635" s="7">
        <v>31001</v>
      </c>
      <c r="C635" s="7" t="s">
        <v>567</v>
      </c>
      <c r="D635" s="9">
        <v>243736.4</v>
      </c>
      <c r="E635" s="9" t="s">
        <v>568</v>
      </c>
      <c r="F635" s="9" t="s">
        <v>568</v>
      </c>
      <c r="G635" s="9" t="s">
        <v>568</v>
      </c>
      <c r="H635" s="9">
        <v>243736.4</v>
      </c>
    </row>
    <row r="636" spans="1:8" x14ac:dyDescent="0.25">
      <c r="A636" s="7" t="s">
        <v>100</v>
      </c>
      <c r="B636" s="7" t="s">
        <v>52</v>
      </c>
      <c r="C636" s="8" t="s">
        <v>101</v>
      </c>
      <c r="D636" s="9">
        <v>400000</v>
      </c>
      <c r="E636" s="9">
        <v>400000</v>
      </c>
      <c r="F636" s="9">
        <v>0</v>
      </c>
      <c r="G636" s="9">
        <v>0</v>
      </c>
      <c r="H636" s="9">
        <v>0</v>
      </c>
    </row>
    <row r="637" spans="1:8" x14ac:dyDescent="0.25">
      <c r="A637" s="7"/>
      <c r="B637" s="7"/>
      <c r="C637" s="52" t="s">
        <v>5</v>
      </c>
      <c r="D637" s="9"/>
      <c r="E637" s="9"/>
      <c r="F637" s="9"/>
      <c r="G637" s="9"/>
      <c r="H637" s="9"/>
    </row>
    <row r="638" spans="1:8" ht="27" x14ac:dyDescent="0.25">
      <c r="A638" s="7"/>
      <c r="B638" s="7"/>
      <c r="C638" s="8" t="s">
        <v>563</v>
      </c>
      <c r="D638" s="9">
        <v>400000</v>
      </c>
      <c r="E638" s="9">
        <v>400000</v>
      </c>
      <c r="F638" s="9">
        <v>0</v>
      </c>
      <c r="G638" s="9">
        <v>0</v>
      </c>
      <c r="H638" s="9">
        <v>0</v>
      </c>
    </row>
    <row r="639" spans="1:8" ht="14.25" x14ac:dyDescent="0.25">
      <c r="A639" s="5"/>
      <c r="B639" s="5"/>
      <c r="C639" s="3" t="s">
        <v>102</v>
      </c>
      <c r="D639" s="6">
        <v>2934088.8</v>
      </c>
      <c r="E639" s="6">
        <v>1123211.8</v>
      </c>
      <c r="F639" s="6">
        <v>607754</v>
      </c>
      <c r="G639" s="6">
        <v>18100</v>
      </c>
      <c r="H639" s="6">
        <v>1185023</v>
      </c>
    </row>
    <row r="640" spans="1:8" x14ac:dyDescent="0.25">
      <c r="A640" s="5"/>
      <c r="B640" s="5"/>
      <c r="C640" s="7" t="s">
        <v>14</v>
      </c>
      <c r="D640" s="8"/>
      <c r="E640" s="8"/>
      <c r="F640" s="122"/>
      <c r="G640" s="8"/>
      <c r="H640" s="8"/>
    </row>
    <row r="641" spans="1:8" ht="27" x14ac:dyDescent="0.25">
      <c r="A641" s="7" t="s">
        <v>103</v>
      </c>
      <c r="B641" s="7" t="s">
        <v>57</v>
      </c>
      <c r="C641" s="8" t="s">
        <v>104</v>
      </c>
      <c r="D641" s="9">
        <v>834623</v>
      </c>
      <c r="E641" s="9">
        <v>0</v>
      </c>
      <c r="F641" s="9">
        <v>0</v>
      </c>
      <c r="G641" s="9">
        <v>0</v>
      </c>
      <c r="H641" s="9">
        <v>834623</v>
      </c>
    </row>
    <row r="642" spans="1:8" x14ac:dyDescent="0.25">
      <c r="A642" s="7" t="s">
        <v>103</v>
      </c>
      <c r="B642" s="7" t="s">
        <v>16</v>
      </c>
      <c r="C642" s="8" t="s">
        <v>105</v>
      </c>
      <c r="D642" s="9">
        <v>1749065.8</v>
      </c>
      <c r="E642" s="9">
        <v>1123211.8</v>
      </c>
      <c r="F642" s="9">
        <v>607754</v>
      </c>
      <c r="G642" s="9">
        <v>18100</v>
      </c>
      <c r="H642" s="9">
        <v>0</v>
      </c>
    </row>
    <row r="643" spans="1:8" ht="27" x14ac:dyDescent="0.25">
      <c r="A643" s="7" t="s">
        <v>103</v>
      </c>
      <c r="B643" s="7" t="s">
        <v>52</v>
      </c>
      <c r="C643" s="8" t="s">
        <v>106</v>
      </c>
      <c r="D643" s="9">
        <v>350400</v>
      </c>
      <c r="E643" s="9">
        <v>0</v>
      </c>
      <c r="F643" s="9">
        <v>0</v>
      </c>
      <c r="G643" s="9">
        <v>0</v>
      </c>
      <c r="H643" s="9">
        <v>350400</v>
      </c>
    </row>
    <row r="644" spans="1:8" ht="14.25" x14ac:dyDescent="0.25">
      <c r="A644" s="5"/>
      <c r="B644" s="5"/>
      <c r="C644" s="3" t="s">
        <v>107</v>
      </c>
      <c r="D644" s="6">
        <v>276000</v>
      </c>
      <c r="E644" s="6">
        <v>276000</v>
      </c>
      <c r="F644" s="6">
        <v>0</v>
      </c>
      <c r="G644" s="6">
        <v>0</v>
      </c>
      <c r="H644" s="6">
        <v>0</v>
      </c>
    </row>
    <row r="645" spans="1:8" x14ac:dyDescent="0.25">
      <c r="A645" s="5"/>
      <c r="B645" s="5"/>
      <c r="C645" s="7" t="s">
        <v>14</v>
      </c>
      <c r="D645" s="8"/>
      <c r="E645" s="8"/>
      <c r="F645" s="122"/>
      <c r="G645" s="8"/>
      <c r="H645" s="8"/>
    </row>
    <row r="646" spans="1:8" ht="27" x14ac:dyDescent="0.25">
      <c r="A646" s="7" t="s">
        <v>108</v>
      </c>
      <c r="B646" s="7" t="s">
        <v>57</v>
      </c>
      <c r="C646" s="8" t="s">
        <v>564</v>
      </c>
      <c r="D646" s="9">
        <v>276000</v>
      </c>
      <c r="E646" s="9">
        <v>276000</v>
      </c>
      <c r="F646" s="9">
        <v>0</v>
      </c>
      <c r="G646" s="9">
        <v>0</v>
      </c>
      <c r="H646" s="9">
        <v>0</v>
      </c>
    </row>
    <row r="647" spans="1:8" ht="14.25" x14ac:dyDescent="0.25">
      <c r="A647" s="5"/>
      <c r="B647" s="5"/>
      <c r="C647" s="3" t="s">
        <v>109</v>
      </c>
      <c r="D647" s="6">
        <v>156944</v>
      </c>
      <c r="E647" s="6">
        <v>0</v>
      </c>
      <c r="F647" s="6">
        <v>0</v>
      </c>
      <c r="G647" s="6">
        <v>0</v>
      </c>
      <c r="H647" s="6">
        <v>156944</v>
      </c>
    </row>
    <row r="648" spans="1:8" x14ac:dyDescent="0.25">
      <c r="A648" s="5"/>
      <c r="B648" s="5"/>
      <c r="C648" s="7" t="s">
        <v>14</v>
      </c>
      <c r="D648" s="8"/>
      <c r="E648" s="8"/>
      <c r="F648" s="122"/>
      <c r="G648" s="8"/>
      <c r="H648" s="8"/>
    </row>
    <row r="649" spans="1:8" x14ac:dyDescent="0.25">
      <c r="A649" s="7" t="s">
        <v>110</v>
      </c>
      <c r="B649" s="7" t="s">
        <v>57</v>
      </c>
      <c r="C649" s="8" t="s">
        <v>111</v>
      </c>
      <c r="D649" s="9">
        <v>131500</v>
      </c>
      <c r="E649" s="9">
        <v>0</v>
      </c>
      <c r="F649" s="9">
        <v>0</v>
      </c>
      <c r="G649" s="9">
        <v>0</v>
      </c>
      <c r="H649" s="9">
        <v>131500</v>
      </c>
    </row>
    <row r="650" spans="1:8" x14ac:dyDescent="0.25">
      <c r="A650" s="7" t="s">
        <v>110</v>
      </c>
      <c r="B650" s="7" t="s">
        <v>16</v>
      </c>
      <c r="C650" s="8" t="s">
        <v>112</v>
      </c>
      <c r="D650" s="9">
        <v>25444</v>
      </c>
      <c r="E650" s="9">
        <v>0</v>
      </c>
      <c r="F650" s="9">
        <v>0</v>
      </c>
      <c r="G650" s="9">
        <v>0</v>
      </c>
      <c r="H650" s="9">
        <v>25444</v>
      </c>
    </row>
    <row r="651" spans="1:8" ht="14.25" x14ac:dyDescent="0.25">
      <c r="A651" s="5"/>
      <c r="B651" s="5"/>
      <c r="C651" s="3" t="s">
        <v>113</v>
      </c>
      <c r="D651" s="6">
        <v>400000</v>
      </c>
      <c r="E651" s="6">
        <v>0</v>
      </c>
      <c r="F651" s="6">
        <v>400000</v>
      </c>
      <c r="G651" s="6">
        <v>0</v>
      </c>
      <c r="H651" s="6">
        <v>0</v>
      </c>
    </row>
    <row r="652" spans="1:8" x14ac:dyDescent="0.25">
      <c r="A652" s="5"/>
      <c r="B652" s="5"/>
      <c r="C652" s="7" t="s">
        <v>14</v>
      </c>
      <c r="D652" s="8"/>
      <c r="E652" s="8"/>
      <c r="F652" s="122"/>
      <c r="G652" s="8"/>
      <c r="H652" s="8"/>
    </row>
    <row r="653" spans="1:8" x14ac:dyDescent="0.25">
      <c r="A653" s="7" t="s">
        <v>114</v>
      </c>
      <c r="B653" s="7" t="s">
        <v>115</v>
      </c>
      <c r="C653" s="8" t="s">
        <v>116</v>
      </c>
      <c r="D653" s="9">
        <v>400000</v>
      </c>
      <c r="E653" s="9">
        <v>0</v>
      </c>
      <c r="F653" s="9">
        <v>400000</v>
      </c>
      <c r="G653" s="9">
        <v>0</v>
      </c>
      <c r="H653" s="9">
        <v>0</v>
      </c>
    </row>
    <row r="654" spans="1:8" ht="14.25" x14ac:dyDescent="0.25">
      <c r="A654" s="5"/>
      <c r="B654" s="5"/>
      <c r="C654" s="3" t="s">
        <v>117</v>
      </c>
      <c r="D654" s="6">
        <f>SUM(E654:H654)</f>
        <v>1989384.4</v>
      </c>
      <c r="E654" s="6">
        <f>+E656+E672+E675</f>
        <v>1600000</v>
      </c>
      <c r="F654" s="6">
        <f t="shared" ref="F654:H654" si="194">+F656+F672+F675</f>
        <v>0</v>
      </c>
      <c r="G654" s="6">
        <f>+G656+G672+G675</f>
        <v>389384.4</v>
      </c>
      <c r="H654" s="6">
        <f t="shared" si="194"/>
        <v>0</v>
      </c>
    </row>
    <row r="655" spans="1:8" x14ac:dyDescent="0.25">
      <c r="A655" s="5"/>
      <c r="B655" s="5"/>
      <c r="C655" s="7" t="s">
        <v>14</v>
      </c>
      <c r="D655" s="8"/>
      <c r="E655" s="8"/>
      <c r="F655" s="122"/>
      <c r="G655" s="8"/>
      <c r="H655" s="8"/>
    </row>
    <row r="656" spans="1:8" x14ac:dyDescent="0.25">
      <c r="A656" s="7" t="s">
        <v>118</v>
      </c>
      <c r="B656" s="7" t="s">
        <v>119</v>
      </c>
      <c r="C656" s="8" t="s">
        <v>120</v>
      </c>
      <c r="D656" s="9">
        <f t="shared" ref="D656:F656" si="195">SUM(D658:D671)</f>
        <v>268000</v>
      </c>
      <c r="E656" s="9">
        <f t="shared" si="195"/>
        <v>0</v>
      </c>
      <c r="F656" s="9">
        <f t="shared" si="195"/>
        <v>0</v>
      </c>
      <c r="G656" s="9">
        <f>SUM(G658:G671)</f>
        <v>268000</v>
      </c>
      <c r="H656" s="9">
        <f>SUM(H658:H671)</f>
        <v>0</v>
      </c>
    </row>
    <row r="657" spans="1:8" x14ac:dyDescent="0.25">
      <c r="A657" s="7"/>
      <c r="B657" s="7"/>
      <c r="C657" s="8" t="s">
        <v>130</v>
      </c>
      <c r="D657" s="9"/>
      <c r="E657" s="9"/>
      <c r="F657" s="9"/>
      <c r="G657" s="9"/>
      <c r="H657" s="9"/>
    </row>
    <row r="658" spans="1:8" ht="35.25" customHeight="1" x14ac:dyDescent="0.25">
      <c r="A658" s="7"/>
      <c r="B658" s="7"/>
      <c r="C658" s="11" t="s">
        <v>136</v>
      </c>
      <c r="D658" s="34">
        <f>SUM(E658:H658)</f>
        <v>7000</v>
      </c>
      <c r="E658" s="34"/>
      <c r="F658" s="34"/>
      <c r="G658" s="34">
        <v>7000</v>
      </c>
      <c r="H658" s="9"/>
    </row>
    <row r="659" spans="1:8" ht="35.25" customHeight="1" x14ac:dyDescent="0.25">
      <c r="A659" s="7"/>
      <c r="B659" s="7"/>
      <c r="C659" s="11" t="s">
        <v>135</v>
      </c>
      <c r="D659" s="34">
        <f t="shared" ref="D659:D671" si="196">SUM(E659:H659)</f>
        <v>7000</v>
      </c>
      <c r="E659" s="34"/>
      <c r="F659" s="34"/>
      <c r="G659" s="34">
        <v>7000</v>
      </c>
      <c r="H659" s="9"/>
    </row>
    <row r="660" spans="1:8" ht="36.75" customHeight="1" x14ac:dyDescent="0.25">
      <c r="A660" s="7"/>
      <c r="B660" s="7"/>
      <c r="C660" s="11" t="s">
        <v>140</v>
      </c>
      <c r="D660" s="34">
        <f t="shared" si="196"/>
        <v>7000</v>
      </c>
      <c r="E660" s="34"/>
      <c r="F660" s="34"/>
      <c r="G660" s="34">
        <v>7000</v>
      </c>
      <c r="H660" s="9"/>
    </row>
    <row r="661" spans="1:8" ht="52.5" customHeight="1" x14ac:dyDescent="0.25">
      <c r="A661" s="7"/>
      <c r="B661" s="7"/>
      <c r="C661" s="11" t="s">
        <v>574</v>
      </c>
      <c r="D661" s="34">
        <f t="shared" si="196"/>
        <v>7000</v>
      </c>
      <c r="E661" s="34"/>
      <c r="F661" s="34"/>
      <c r="G661" s="34">
        <v>7000</v>
      </c>
      <c r="H661" s="9"/>
    </row>
    <row r="662" spans="1:8" ht="37.5" customHeight="1" x14ac:dyDescent="0.25">
      <c r="A662" s="7"/>
      <c r="B662" s="7"/>
      <c r="C662" s="11" t="s">
        <v>137</v>
      </c>
      <c r="D662" s="34">
        <f t="shared" si="196"/>
        <v>7000</v>
      </c>
      <c r="E662" s="34"/>
      <c r="F662" s="34"/>
      <c r="G662" s="34">
        <v>7000</v>
      </c>
      <c r="H662" s="9"/>
    </row>
    <row r="663" spans="1:8" ht="45.75" customHeight="1" x14ac:dyDescent="0.25">
      <c r="A663" s="7"/>
      <c r="B663" s="7"/>
      <c r="C663" s="11" t="s">
        <v>575</v>
      </c>
      <c r="D663" s="34">
        <f t="shared" si="196"/>
        <v>8000</v>
      </c>
      <c r="E663" s="34"/>
      <c r="F663" s="34"/>
      <c r="G663" s="34">
        <v>8000</v>
      </c>
      <c r="H663" s="9"/>
    </row>
    <row r="664" spans="1:8" ht="51" customHeight="1" x14ac:dyDescent="0.25">
      <c r="A664" s="7"/>
      <c r="B664" s="7"/>
      <c r="C664" s="11" t="s">
        <v>141</v>
      </c>
      <c r="D664" s="34">
        <f t="shared" si="196"/>
        <v>28000</v>
      </c>
      <c r="E664" s="34"/>
      <c r="F664" s="34"/>
      <c r="G664" s="34">
        <v>28000</v>
      </c>
      <c r="H664" s="9"/>
    </row>
    <row r="665" spans="1:8" ht="30.75" customHeight="1" x14ac:dyDescent="0.25">
      <c r="A665" s="7"/>
      <c r="B665" s="7"/>
      <c r="C665" s="11" t="s">
        <v>142</v>
      </c>
      <c r="D665" s="34">
        <f t="shared" si="196"/>
        <v>28000</v>
      </c>
      <c r="E665" s="34"/>
      <c r="F665" s="34"/>
      <c r="G665" s="34">
        <v>28000</v>
      </c>
      <c r="H665" s="9"/>
    </row>
    <row r="666" spans="1:8" ht="34.5" customHeight="1" x14ac:dyDescent="0.25">
      <c r="A666" s="7"/>
      <c r="B666" s="7"/>
      <c r="C666" s="11" t="s">
        <v>138</v>
      </c>
      <c r="D666" s="34">
        <f t="shared" si="196"/>
        <v>13000</v>
      </c>
      <c r="E666" s="34"/>
      <c r="F666" s="34"/>
      <c r="G666" s="34">
        <v>13000</v>
      </c>
      <c r="H666" s="9"/>
    </row>
    <row r="667" spans="1:8" ht="33" customHeight="1" x14ac:dyDescent="0.25">
      <c r="A667" s="7"/>
      <c r="B667" s="7"/>
      <c r="C667" s="11" t="s">
        <v>139</v>
      </c>
      <c r="D667" s="34">
        <f t="shared" si="196"/>
        <v>32500</v>
      </c>
      <c r="E667" s="34"/>
      <c r="F667" s="34"/>
      <c r="G667" s="34">
        <v>32500</v>
      </c>
      <c r="H667" s="9"/>
    </row>
    <row r="668" spans="1:8" ht="37.5" customHeight="1" x14ac:dyDescent="0.25">
      <c r="A668" s="7"/>
      <c r="B668" s="7"/>
      <c r="C668" s="11" t="s">
        <v>143</v>
      </c>
      <c r="D668" s="34">
        <f t="shared" si="196"/>
        <v>17500</v>
      </c>
      <c r="E668" s="34"/>
      <c r="F668" s="34"/>
      <c r="G668" s="34">
        <v>17500</v>
      </c>
      <c r="H668" s="9"/>
    </row>
    <row r="669" spans="1:8" ht="37.5" customHeight="1" x14ac:dyDescent="0.25">
      <c r="A669" s="7"/>
      <c r="B669" s="7"/>
      <c r="C669" s="11" t="s">
        <v>144</v>
      </c>
      <c r="D669" s="34">
        <f t="shared" si="196"/>
        <v>17500</v>
      </c>
      <c r="E669" s="34"/>
      <c r="F669" s="34"/>
      <c r="G669" s="34">
        <v>17500</v>
      </c>
      <c r="H669" s="9"/>
    </row>
    <row r="670" spans="1:8" ht="33" customHeight="1" x14ac:dyDescent="0.25">
      <c r="A670" s="7"/>
      <c r="B670" s="7"/>
      <c r="C670" s="11" t="s">
        <v>145</v>
      </c>
      <c r="D670" s="34">
        <f t="shared" si="196"/>
        <v>21000</v>
      </c>
      <c r="E670" s="34"/>
      <c r="F670" s="34"/>
      <c r="G670" s="34">
        <v>21000</v>
      </c>
      <c r="H670" s="9"/>
    </row>
    <row r="671" spans="1:8" ht="24.75" customHeight="1" x14ac:dyDescent="0.25">
      <c r="A671" s="7"/>
      <c r="B671" s="7"/>
      <c r="C671" s="11" t="s">
        <v>131</v>
      </c>
      <c r="D671" s="34">
        <f t="shared" si="196"/>
        <v>67500</v>
      </c>
      <c r="E671" s="34"/>
      <c r="F671" s="34"/>
      <c r="G671" s="34">
        <v>67500</v>
      </c>
      <c r="H671" s="9"/>
    </row>
    <row r="672" spans="1:8" ht="38.25" customHeight="1" x14ac:dyDescent="0.25">
      <c r="A672" s="7" t="s">
        <v>118</v>
      </c>
      <c r="B672" s="7" t="s">
        <v>67</v>
      </c>
      <c r="C672" s="8" t="s">
        <v>121</v>
      </c>
      <c r="D672" s="9">
        <f>+D674</f>
        <v>121384.4</v>
      </c>
      <c r="E672" s="9">
        <f t="shared" ref="E672" si="197">+E674</f>
        <v>0</v>
      </c>
      <c r="F672" s="9">
        <f>+F674</f>
        <v>0</v>
      </c>
      <c r="G672" s="9">
        <f>+G674</f>
        <v>121384.4</v>
      </c>
      <c r="H672" s="9">
        <f>+H674</f>
        <v>0</v>
      </c>
    </row>
    <row r="673" spans="1:14" x14ac:dyDescent="0.25">
      <c r="A673" s="7"/>
      <c r="B673" s="7"/>
      <c r="C673" s="8" t="s">
        <v>130</v>
      </c>
      <c r="D673" s="9"/>
      <c r="E673" s="9"/>
      <c r="F673" s="9"/>
      <c r="G673" s="9"/>
      <c r="H673" s="9"/>
    </row>
    <row r="674" spans="1:14" ht="36" customHeight="1" x14ac:dyDescent="0.25">
      <c r="A674" s="7"/>
      <c r="B674" s="7"/>
      <c r="C674" s="12" t="s">
        <v>134</v>
      </c>
      <c r="D674" s="9">
        <f>SUM(E674:H674)</f>
        <v>121384.4</v>
      </c>
      <c r="E674" s="9"/>
      <c r="F674" s="9"/>
      <c r="G674" s="9">
        <v>121384.4</v>
      </c>
      <c r="H674" s="9"/>
      <c r="J674" s="120"/>
      <c r="K674" s="120"/>
      <c r="L674" s="120"/>
      <c r="M674" s="120"/>
      <c r="N674" s="120"/>
    </row>
    <row r="675" spans="1:14" ht="27" x14ac:dyDescent="0.25">
      <c r="A675" s="7" t="s">
        <v>118</v>
      </c>
      <c r="B675" s="7" t="s">
        <v>27</v>
      </c>
      <c r="C675" s="8" t="s">
        <v>122</v>
      </c>
      <c r="D675" s="9">
        <f>SUM(D677:D678)</f>
        <v>1600000</v>
      </c>
      <c r="E675" s="9">
        <f>SUM(E677:E678)</f>
        <v>1600000</v>
      </c>
      <c r="F675" s="9">
        <f>SUM(F677:F678)</f>
        <v>0</v>
      </c>
      <c r="G675" s="9">
        <f t="shared" ref="G675:H675" si="198">SUM(G677:G678)</f>
        <v>0</v>
      </c>
      <c r="H675" s="9">
        <f t="shared" si="198"/>
        <v>0</v>
      </c>
    </row>
    <row r="676" spans="1:14" x14ac:dyDescent="0.25">
      <c r="A676" s="7"/>
      <c r="B676" s="7"/>
      <c r="C676" s="8" t="s">
        <v>130</v>
      </c>
      <c r="D676" s="9"/>
      <c r="E676" s="9"/>
      <c r="F676" s="9"/>
      <c r="G676" s="9"/>
      <c r="H676" s="9"/>
    </row>
    <row r="677" spans="1:14" ht="33" customHeight="1" x14ac:dyDescent="0.25">
      <c r="A677" s="7"/>
      <c r="B677" s="7"/>
      <c r="C677" s="12" t="s">
        <v>132</v>
      </c>
      <c r="D677" s="9">
        <f>SUM(E677:H677)</f>
        <v>1000000</v>
      </c>
      <c r="E677" s="9">
        <v>1000000</v>
      </c>
      <c r="F677" s="9"/>
      <c r="G677" s="9"/>
      <c r="H677" s="9"/>
    </row>
    <row r="678" spans="1:14" ht="32.25" customHeight="1" x14ac:dyDescent="0.25">
      <c r="A678" s="7"/>
      <c r="B678" s="7"/>
      <c r="C678" s="12" t="s">
        <v>133</v>
      </c>
      <c r="D678" s="9">
        <f>SUM(E678:H678)</f>
        <v>600000</v>
      </c>
      <c r="E678" s="9">
        <v>600000</v>
      </c>
      <c r="F678" s="9"/>
      <c r="G678" s="9"/>
      <c r="H678" s="9"/>
    </row>
    <row r="679" spans="1:14" ht="14.25" x14ac:dyDescent="0.25">
      <c r="A679" s="5"/>
      <c r="B679" s="5"/>
      <c r="C679" s="3" t="s">
        <v>123</v>
      </c>
      <c r="D679" s="6">
        <v>501212.1</v>
      </c>
      <c r="E679" s="6">
        <v>0</v>
      </c>
      <c r="F679" s="6">
        <v>0</v>
      </c>
      <c r="G679" s="6">
        <v>0</v>
      </c>
      <c r="H679" s="6">
        <v>501212.1</v>
      </c>
    </row>
    <row r="680" spans="1:14" x14ac:dyDescent="0.25">
      <c r="A680" s="5"/>
      <c r="B680" s="5"/>
      <c r="C680" s="7" t="s">
        <v>14</v>
      </c>
      <c r="D680" s="8"/>
      <c r="E680" s="8"/>
      <c r="F680" s="122"/>
      <c r="G680" s="8"/>
      <c r="H680" s="8"/>
    </row>
    <row r="681" spans="1:14" x14ac:dyDescent="0.25">
      <c r="A681" s="7" t="s">
        <v>124</v>
      </c>
      <c r="B681" s="7" t="s">
        <v>57</v>
      </c>
      <c r="C681" s="8" t="s">
        <v>125</v>
      </c>
      <c r="D681" s="9">
        <v>501212.1</v>
      </c>
      <c r="E681" s="9">
        <v>0</v>
      </c>
      <c r="F681" s="9">
        <v>0</v>
      </c>
      <c r="G681" s="9">
        <v>0</v>
      </c>
      <c r="H681" s="9">
        <v>501212.1</v>
      </c>
    </row>
    <row r="682" spans="1:14" ht="14.25" x14ac:dyDescent="0.25">
      <c r="A682" s="5"/>
      <c r="B682" s="5"/>
      <c r="C682" s="3" t="s">
        <v>126</v>
      </c>
      <c r="D682" s="6">
        <f>+D684</f>
        <v>34233139.399999999</v>
      </c>
      <c r="E682" s="6">
        <f t="shared" ref="E682:H682" si="199">+E684</f>
        <v>0</v>
      </c>
      <c r="F682" s="6">
        <f t="shared" si="199"/>
        <v>34233139.399999999</v>
      </c>
      <c r="G682" s="6">
        <f t="shared" si="199"/>
        <v>0</v>
      </c>
      <c r="H682" s="6">
        <f t="shared" si="199"/>
        <v>0</v>
      </c>
    </row>
    <row r="683" spans="1:14" x14ac:dyDescent="0.25">
      <c r="A683" s="5"/>
      <c r="B683" s="5"/>
      <c r="C683" s="7" t="s">
        <v>14</v>
      </c>
      <c r="D683" s="8"/>
      <c r="E683" s="8"/>
      <c r="F683" s="122"/>
      <c r="G683" s="8"/>
      <c r="H683" s="8"/>
    </row>
    <row r="684" spans="1:14" x14ac:dyDescent="0.25">
      <c r="A684" s="7" t="s">
        <v>127</v>
      </c>
      <c r="B684" s="7" t="s">
        <v>67</v>
      </c>
      <c r="C684" s="8" t="s">
        <v>128</v>
      </c>
      <c r="D684" s="9">
        <f>+E684+F684+G684+H684</f>
        <v>34233139.399999999</v>
      </c>
      <c r="E684" s="9">
        <v>0</v>
      </c>
      <c r="F684" s="9">
        <v>34233139.399999999</v>
      </c>
      <c r="G684" s="9">
        <v>0</v>
      </c>
      <c r="H684" s="9">
        <v>0</v>
      </c>
    </row>
  </sheetData>
  <mergeCells count="101">
    <mergeCell ref="A1:H1"/>
    <mergeCell ref="A2:H2"/>
    <mergeCell ref="A3:H3"/>
    <mergeCell ref="A5:B5"/>
    <mergeCell ref="C5:C6"/>
    <mergeCell ref="D5:D6"/>
    <mergeCell ref="E5:H5"/>
    <mergeCell ref="A202:A204"/>
    <mergeCell ref="B202:B204"/>
    <mergeCell ref="A210:A212"/>
    <mergeCell ref="B210:B212"/>
    <mergeCell ref="A216:A217"/>
    <mergeCell ref="B216:B217"/>
    <mergeCell ref="A171:A172"/>
    <mergeCell ref="B171:B172"/>
    <mergeCell ref="A189:A191"/>
    <mergeCell ref="B189:B191"/>
    <mergeCell ref="A199:A200"/>
    <mergeCell ref="B199:B200"/>
    <mergeCell ref="A269:A270"/>
    <mergeCell ref="B269:B270"/>
    <mergeCell ref="A272:A273"/>
    <mergeCell ref="B272:B273"/>
    <mergeCell ref="A277:A278"/>
    <mergeCell ref="B277:B278"/>
    <mergeCell ref="A221:A223"/>
    <mergeCell ref="B221:B223"/>
    <mergeCell ref="A225:A227"/>
    <mergeCell ref="B225:B227"/>
    <mergeCell ref="A231:A236"/>
    <mergeCell ref="B231:B236"/>
    <mergeCell ref="A334:A337"/>
    <mergeCell ref="B334:B337"/>
    <mergeCell ref="A341:A342"/>
    <mergeCell ref="B341:B342"/>
    <mergeCell ref="A346:A351"/>
    <mergeCell ref="B346:B351"/>
    <mergeCell ref="A280:A281"/>
    <mergeCell ref="B280:B281"/>
    <mergeCell ref="A307:A309"/>
    <mergeCell ref="B307:B309"/>
    <mergeCell ref="A317:A318"/>
    <mergeCell ref="B317:B318"/>
    <mergeCell ref="A384:A398"/>
    <mergeCell ref="B384:B398"/>
    <mergeCell ref="A400:A404"/>
    <mergeCell ref="B400:B404"/>
    <mergeCell ref="A406:A414"/>
    <mergeCell ref="B406:B414"/>
    <mergeCell ref="A364:A368"/>
    <mergeCell ref="B364:B368"/>
    <mergeCell ref="A370:A375"/>
    <mergeCell ref="B370:B375"/>
    <mergeCell ref="A377:A382"/>
    <mergeCell ref="B377:B382"/>
    <mergeCell ref="A449:A454"/>
    <mergeCell ref="B449:B454"/>
    <mergeCell ref="A459:A461"/>
    <mergeCell ref="B459:B461"/>
    <mergeCell ref="A463:A471"/>
    <mergeCell ref="B463:B471"/>
    <mergeCell ref="A416:A423"/>
    <mergeCell ref="B416:B423"/>
    <mergeCell ref="A425:A431"/>
    <mergeCell ref="B425:B431"/>
    <mergeCell ref="A433:A445"/>
    <mergeCell ref="B433:B445"/>
    <mergeCell ref="A500:A505"/>
    <mergeCell ref="B500:B505"/>
    <mergeCell ref="A507:A511"/>
    <mergeCell ref="B507:B511"/>
    <mergeCell ref="A518:A524"/>
    <mergeCell ref="B518:B524"/>
    <mergeCell ref="A475:A483"/>
    <mergeCell ref="B475:B483"/>
    <mergeCell ref="A485:A492"/>
    <mergeCell ref="B485:B492"/>
    <mergeCell ref="A494:A498"/>
    <mergeCell ref="B494:B498"/>
    <mergeCell ref="A549:A553"/>
    <mergeCell ref="B549:B553"/>
    <mergeCell ref="A555:A558"/>
    <mergeCell ref="B555:B558"/>
    <mergeCell ref="A560:A566"/>
    <mergeCell ref="B560:B566"/>
    <mergeCell ref="A526:A529"/>
    <mergeCell ref="B526:B529"/>
    <mergeCell ref="A531:A535"/>
    <mergeCell ref="B531:B535"/>
    <mergeCell ref="A540:A547"/>
    <mergeCell ref="B540:B547"/>
    <mergeCell ref="A599:A601"/>
    <mergeCell ref="B599:B601"/>
    <mergeCell ref="A603:A606"/>
    <mergeCell ref="B603:B606"/>
    <mergeCell ref="A568:A576"/>
    <mergeCell ref="B568:B576"/>
    <mergeCell ref="A580:A583"/>
    <mergeCell ref="B580:B583"/>
    <mergeCell ref="A585:A597"/>
    <mergeCell ref="B585:B597"/>
  </mergeCells>
  <pageMargins left="0.2" right="0.2" top="0.47" bottom="0.51" header="0.26" footer="0.2"/>
  <pageSetup paperSize="9" scale="83" firstPageNumber="108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Կապիտալ - բյուջե</vt:lpstr>
      <vt:lpstr>'Կապիտալ - բյուջե'!Print_Titles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2025-12-09T06:32:00Z</cp:lastPrinted>
  <dcterms:created xsi:type="dcterms:W3CDTF">2025-09-22T08:06:35Z</dcterms:created>
  <dcterms:modified xsi:type="dcterms:W3CDTF">2025-12-09T06:32:04Z</dcterms:modified>
</cp:coreProperties>
</file>