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ԳՅՈՒՄՐԻ 60-Ն\"/>
    </mc:Choice>
  </mc:AlternateContent>
  <xr:revisionPtr revIDLastSave="0" documentId="13_ncr:1_{5A14A604-52D4-4744-9F8A-5C46FF8F2B5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1. Ekamutner" sheetId="9" r:id="rId1"/>
    <sheet name="2.Gorcarakan tsaxs" sheetId="3" r:id="rId2"/>
    <sheet name="3.Tntesagitakan tsaxs" sheetId="4" r:id="rId3"/>
    <sheet name="4.Gorcarakan ev tntesagitakan" sheetId="7" r:id="rId4"/>
    <sheet name="5.Devicit " sheetId="15" r:id="rId5"/>
    <sheet name="6.Havelurd " sheetId="16" r:id="rId6"/>
  </sheets>
  <definedNames>
    <definedName name="_xlnm._FilterDatabase" localSheetId="0" hidden="1">'1. Ekamutner'!$A$11:$K$124</definedName>
    <definedName name="_xlnm._FilterDatabase" localSheetId="1" hidden="1">'2.Gorcarakan tsaxs'!$A$11:$AC$310</definedName>
    <definedName name="_xlnm._FilterDatabase" localSheetId="2" hidden="1">'3.Tntesagitakan tsaxs'!$A$12:$Q$232</definedName>
    <definedName name="_xlnm._FilterDatabase" localSheetId="3" hidden="1">'4.Gorcarakan ev tntesagitakan'!$A$10:$N$777</definedName>
    <definedName name="_xlnm.Print_Area" localSheetId="0">'1. Ekamutner'!$A$1:$J$126</definedName>
    <definedName name="_xlnm.Print_Area" localSheetId="1">'2.Gorcarakan tsaxs'!$A$1:$L$310</definedName>
    <definedName name="_xlnm.Print_Area" localSheetId="2">'3.Tntesagitakan tsaxs'!$A$1:$J$232</definedName>
    <definedName name="_xlnm.Print_Area" localSheetId="3">'4.Gorcarakan ev tntesagitakan'!$B$1:$N$777</definedName>
  </definedNames>
  <calcPr calcId="191029"/>
</workbook>
</file>

<file path=xl/calcChain.xml><?xml version="1.0" encoding="utf-8"?>
<calcChain xmlns="http://schemas.openxmlformats.org/spreadsheetml/2006/main">
  <c r="J560" i="7" l="1"/>
  <c r="H565" i="7"/>
  <c r="I689" i="7"/>
  <c r="I687" i="7" s="1"/>
  <c r="J689" i="7"/>
  <c r="J687" i="7" s="1"/>
  <c r="K689" i="7"/>
  <c r="K687" i="7" s="1"/>
  <c r="L689" i="7"/>
  <c r="L687" i="7" s="1"/>
  <c r="M689" i="7"/>
  <c r="M687" i="7" s="1"/>
  <c r="N693" i="7"/>
  <c r="H693" i="7"/>
  <c r="N565" i="7" l="1"/>
  <c r="E61" i="4"/>
  <c r="H692" i="7"/>
  <c r="N692" i="7" s="1"/>
  <c r="H564" i="7" l="1"/>
  <c r="M457" i="7"/>
  <c r="N564" i="7" l="1"/>
  <c r="I545" i="7"/>
  <c r="I396" i="7"/>
  <c r="E105" i="9"/>
  <c r="D105" i="9" s="1"/>
  <c r="J457" i="7"/>
  <c r="J283" i="7"/>
  <c r="J404" i="7"/>
  <c r="I431" i="7"/>
  <c r="I447" i="7"/>
  <c r="I563" i="7"/>
  <c r="I560" i="7" s="1"/>
  <c r="E97" i="9"/>
  <c r="E96" i="9"/>
  <c r="E78" i="9"/>
  <c r="E81" i="9"/>
  <c r="E19" i="9"/>
  <c r="E17" i="9"/>
  <c r="I406" i="7"/>
  <c r="J42" i="7"/>
  <c r="F70" i="9"/>
  <c r="E124" i="9"/>
  <c r="M42" i="7"/>
  <c r="M102" i="7"/>
  <c r="I102" i="7"/>
  <c r="J460" i="7" l="1"/>
  <c r="J284" i="7"/>
  <c r="H105" i="9"/>
  <c r="G105" i="9"/>
  <c r="L402" i="7"/>
  <c r="K402" i="7"/>
  <c r="J402" i="7"/>
  <c r="F182" i="4" s="1"/>
  <c r="H229" i="4"/>
  <c r="I18" i="9" l="1"/>
  <c r="G123" i="9" l="1"/>
  <c r="I449" i="7"/>
  <c r="I722" i="7"/>
  <c r="I631" i="7"/>
  <c r="I568" i="7"/>
  <c r="I558" i="7"/>
  <c r="I547" i="7"/>
  <c r="I453" i="7"/>
  <c r="I399" i="7"/>
  <c r="I400" i="7"/>
  <c r="I397" i="7"/>
  <c r="I364" i="7"/>
  <c r="I365" i="7"/>
  <c r="I394" i="7" l="1"/>
  <c r="J117" i="9" l="1"/>
  <c r="I115" i="9"/>
  <c r="H115" i="9"/>
  <c r="G115" i="9"/>
  <c r="H265" i="3"/>
  <c r="H267" i="3"/>
  <c r="H691" i="7"/>
  <c r="H402" i="7"/>
  <c r="J461" i="7"/>
  <c r="J405" i="7"/>
  <c r="H401" i="7"/>
  <c r="J394" i="7" l="1"/>
  <c r="J115" i="9"/>
  <c r="N691" i="7"/>
  <c r="N401" i="7"/>
  <c r="D124" i="9" l="1"/>
  <c r="H18" i="7"/>
  <c r="K18" i="7" s="1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N21" i="7" l="1"/>
  <c r="N22" i="7"/>
  <c r="N19" i="7"/>
  <c r="N20" i="7"/>
  <c r="G267" i="3"/>
  <c r="G265" i="3"/>
  <c r="H690" i="7"/>
  <c r="F150" i="4"/>
  <c r="I546" i="7"/>
  <c r="I608" i="7"/>
  <c r="G234" i="3" s="1"/>
  <c r="J608" i="7"/>
  <c r="H234" i="3" s="1"/>
  <c r="H611" i="7"/>
  <c r="H432" i="7"/>
  <c r="H433" i="7"/>
  <c r="H434" i="7"/>
  <c r="H435" i="7"/>
  <c r="H436" i="7"/>
  <c r="H431" i="7"/>
  <c r="H405" i="7"/>
  <c r="F187" i="4"/>
  <c r="N459" i="7"/>
  <c r="N458" i="7"/>
  <c r="N456" i="7"/>
  <c r="N39" i="7"/>
  <c r="N38" i="7"/>
  <c r="H689" i="7" l="1"/>
  <c r="H687" i="7" s="1"/>
  <c r="F265" i="3" s="1"/>
  <c r="L611" i="7"/>
  <c r="N434" i="7"/>
  <c r="N436" i="7"/>
  <c r="H608" i="7"/>
  <c r="N432" i="7"/>
  <c r="K611" i="7"/>
  <c r="N433" i="7"/>
  <c r="N435" i="7"/>
  <c r="N405" i="7"/>
  <c r="N611" i="7"/>
  <c r="M611" i="7"/>
  <c r="N431" i="7"/>
  <c r="F267" i="3" l="1"/>
  <c r="N608" i="7"/>
  <c r="M608" i="7"/>
  <c r="L608" i="7"/>
  <c r="K608" i="7"/>
  <c r="F234" i="3"/>
  <c r="L234" i="3" l="1"/>
  <c r="K234" i="3"/>
  <c r="J234" i="3"/>
  <c r="I234" i="3"/>
  <c r="I99" i="7"/>
  <c r="J99" i="7"/>
  <c r="H406" i="7" l="1"/>
  <c r="I94" i="7"/>
  <c r="N406" i="7" l="1"/>
  <c r="H45" i="7"/>
  <c r="H46" i="7"/>
  <c r="F190" i="4"/>
  <c r="I16" i="7"/>
  <c r="H41" i="7"/>
  <c r="H42" i="7"/>
  <c r="H43" i="7"/>
  <c r="H44" i="7"/>
  <c r="J16" i="7"/>
  <c r="J95" i="7"/>
  <c r="F193" i="4" l="1"/>
  <c r="J14" i="7"/>
  <c r="I14" i="7"/>
  <c r="N42" i="7"/>
  <c r="N43" i="7"/>
  <c r="N45" i="7"/>
  <c r="N44" i="7"/>
  <c r="N46" i="7"/>
  <c r="N41" i="7"/>
  <c r="D205" i="4" l="1"/>
  <c r="F205" i="4"/>
  <c r="G205" i="4"/>
  <c r="H205" i="4"/>
  <c r="I205" i="4"/>
  <c r="J205" i="4"/>
  <c r="E40" i="4"/>
  <c r="G196" i="4"/>
  <c r="H196" i="4"/>
  <c r="I196" i="4"/>
  <c r="J196" i="4"/>
  <c r="G197" i="4"/>
  <c r="H197" i="4"/>
  <c r="I197" i="4"/>
  <c r="J197" i="4"/>
  <c r="G198" i="4"/>
  <c r="H198" i="4"/>
  <c r="I198" i="4"/>
  <c r="J198" i="4"/>
  <c r="G199" i="4"/>
  <c r="H199" i="4"/>
  <c r="I199" i="4"/>
  <c r="J199" i="4"/>
  <c r="G202" i="4"/>
  <c r="G200" i="4" s="1"/>
  <c r="H202" i="4"/>
  <c r="H200" i="4" s="1"/>
  <c r="I202" i="4"/>
  <c r="I200" i="4" s="1"/>
  <c r="J202" i="4"/>
  <c r="J200" i="4" s="1"/>
  <c r="J26" i="4"/>
  <c r="J24" i="4" s="1"/>
  <c r="J29" i="4"/>
  <c r="J27" i="4" s="1"/>
  <c r="J45" i="4"/>
  <c r="J79" i="4"/>
  <c r="J83" i="4"/>
  <c r="J93" i="4"/>
  <c r="J100" i="4"/>
  <c r="J104" i="4"/>
  <c r="J116" i="4"/>
  <c r="J114" i="4" s="1"/>
  <c r="J117" i="4"/>
  <c r="J118" i="4"/>
  <c r="J125" i="4"/>
  <c r="J132" i="4"/>
  <c r="G144" i="4"/>
  <c r="G142" i="4" s="1"/>
  <c r="H144" i="4"/>
  <c r="H142" i="4" s="1"/>
  <c r="I144" i="4"/>
  <c r="I142" i="4" s="1"/>
  <c r="J144" i="4"/>
  <c r="J142" i="4" s="1"/>
  <c r="G149" i="4"/>
  <c r="H149" i="4"/>
  <c r="I149" i="4"/>
  <c r="J149" i="4"/>
  <c r="G157" i="4"/>
  <c r="H157" i="4"/>
  <c r="I157" i="4"/>
  <c r="J157" i="4"/>
  <c r="G160" i="4"/>
  <c r="H160" i="4"/>
  <c r="I160" i="4"/>
  <c r="J160" i="4"/>
  <c r="G194" i="4" l="1"/>
  <c r="J203" i="4"/>
  <c r="G203" i="4"/>
  <c r="H203" i="4"/>
  <c r="I203" i="4"/>
  <c r="I194" i="4"/>
  <c r="J194" i="4"/>
  <c r="H194" i="4"/>
  <c r="J119" i="4"/>
  <c r="H280" i="7" l="1"/>
  <c r="N280" i="7" l="1"/>
  <c r="E110" i="4"/>
  <c r="H614" i="7"/>
  <c r="H109" i="7"/>
  <c r="H108" i="7"/>
  <c r="H40" i="7"/>
  <c r="I566" i="7"/>
  <c r="J566" i="7"/>
  <c r="H570" i="7"/>
  <c r="H397" i="7"/>
  <c r="H398" i="7"/>
  <c r="H399" i="7"/>
  <c r="H400" i="7"/>
  <c r="H403" i="7"/>
  <c r="H404" i="7"/>
  <c r="N40" i="7" l="1"/>
  <c r="N397" i="7"/>
  <c r="N398" i="7"/>
  <c r="N399" i="7"/>
  <c r="N570" i="7"/>
  <c r="N400" i="7"/>
  <c r="N403" i="7"/>
  <c r="N404" i="7"/>
  <c r="N402" i="7"/>
  <c r="L108" i="7"/>
  <c r="M108" i="7"/>
  <c r="N108" i="7"/>
  <c r="K108" i="7"/>
  <c r="D190" i="4"/>
  <c r="G66" i="4"/>
  <c r="D110" i="4"/>
  <c r="J190" i="4" l="1"/>
  <c r="J66" i="4"/>
  <c r="J110" i="4"/>
  <c r="J108" i="4" s="1"/>
  <c r="J98" i="4" s="1"/>
  <c r="H190" i="4"/>
  <c r="I66" i="4"/>
  <c r="H110" i="4"/>
  <c r="I110" i="4"/>
  <c r="H66" i="4"/>
  <c r="I190" i="4"/>
  <c r="G110" i="4"/>
  <c r="G190" i="4"/>
  <c r="D229" i="4" l="1"/>
  <c r="D215" i="4"/>
  <c r="H460" i="7"/>
  <c r="G74" i="16"/>
  <c r="H74" i="16"/>
  <c r="I74" i="16"/>
  <c r="J74" i="16"/>
  <c r="G80" i="16"/>
  <c r="H80" i="16"/>
  <c r="I80" i="16"/>
  <c r="J80" i="16"/>
  <c r="G84" i="16"/>
  <c r="H84" i="16"/>
  <c r="I84" i="16"/>
  <c r="J84" i="16"/>
  <c r="I62" i="16"/>
  <c r="H62" i="16"/>
  <c r="G62" i="16"/>
  <c r="J61" i="16"/>
  <c r="I61" i="16"/>
  <c r="I56" i="16" s="1"/>
  <c r="H61" i="16"/>
  <c r="H56" i="16" s="1"/>
  <c r="G61" i="16"/>
  <c r="G56" i="16" s="1"/>
  <c r="G47" i="16"/>
  <c r="H47" i="16"/>
  <c r="H45" i="16" s="1"/>
  <c r="I47" i="16"/>
  <c r="J47" i="16"/>
  <c r="G52" i="16"/>
  <c r="H52" i="16"/>
  <c r="I52" i="16"/>
  <c r="J52" i="16"/>
  <c r="H41" i="16"/>
  <c r="I41" i="16"/>
  <c r="J41" i="16"/>
  <c r="G41" i="16"/>
  <c r="J37" i="16"/>
  <c r="I37" i="16"/>
  <c r="I35" i="16" s="1"/>
  <c r="H37" i="16"/>
  <c r="G37" i="16"/>
  <c r="G35" i="16" s="1"/>
  <c r="J31" i="16"/>
  <c r="I31" i="16"/>
  <c r="H31" i="16"/>
  <c r="G31" i="16"/>
  <c r="J27" i="16"/>
  <c r="I27" i="16"/>
  <c r="H27" i="16"/>
  <c r="G27" i="16"/>
  <c r="J25" i="16"/>
  <c r="I25" i="16"/>
  <c r="H25" i="16"/>
  <c r="G25" i="16"/>
  <c r="J19" i="16"/>
  <c r="I19" i="16"/>
  <c r="H19" i="16"/>
  <c r="G19" i="16"/>
  <c r="D87" i="16"/>
  <c r="D86" i="16"/>
  <c r="F84" i="16"/>
  <c r="E84" i="16"/>
  <c r="E78" i="16" s="1"/>
  <c r="E72" i="16" s="1"/>
  <c r="E70" i="16" s="1"/>
  <c r="D83" i="16"/>
  <c r="D82" i="16"/>
  <c r="F80" i="16"/>
  <c r="F78" i="16"/>
  <c r="D77" i="16"/>
  <c r="D76" i="16"/>
  <c r="F74" i="16"/>
  <c r="F72" i="16" s="1"/>
  <c r="F70" i="16" s="1"/>
  <c r="D69" i="16"/>
  <c r="D68" i="16"/>
  <c r="D67" i="16"/>
  <c r="D64" i="16"/>
  <c r="J64" i="16" s="1"/>
  <c r="E62" i="16"/>
  <c r="E61" i="16"/>
  <c r="D60" i="16"/>
  <c r="D58" i="16"/>
  <c r="D55" i="16"/>
  <c r="D54" i="16"/>
  <c r="F52" i="16"/>
  <c r="E52" i="16"/>
  <c r="D51" i="16"/>
  <c r="D50" i="16"/>
  <c r="F47" i="16"/>
  <c r="D44" i="16"/>
  <c r="D43" i="16"/>
  <c r="F41" i="16"/>
  <c r="E41" i="16"/>
  <c r="D40" i="16"/>
  <c r="D39" i="16"/>
  <c r="F37" i="16"/>
  <c r="F35" i="16" s="1"/>
  <c r="E37" i="16"/>
  <c r="E35" i="16" s="1"/>
  <c r="E23" i="16" s="1"/>
  <c r="E17" i="16" s="1"/>
  <c r="D34" i="16"/>
  <c r="D33" i="16"/>
  <c r="F31" i="16"/>
  <c r="D30" i="16"/>
  <c r="D29" i="16"/>
  <c r="F27" i="16"/>
  <c r="D22" i="16"/>
  <c r="D21" i="16"/>
  <c r="F19" i="16"/>
  <c r="E54" i="9"/>
  <c r="H17" i="7"/>
  <c r="H749" i="7"/>
  <c r="H748" i="7"/>
  <c r="M748" i="7" s="1"/>
  <c r="H747" i="7"/>
  <c r="H739" i="7"/>
  <c r="H728" i="7"/>
  <c r="H722" i="7"/>
  <c r="H640" i="7"/>
  <c r="H631" i="7"/>
  <c r="H613" i="7"/>
  <c r="H591" i="7"/>
  <c r="H590" i="7"/>
  <c r="H589" i="7"/>
  <c r="H588" i="7"/>
  <c r="H568" i="7"/>
  <c r="H569" i="7"/>
  <c r="H563" i="7"/>
  <c r="H562" i="7"/>
  <c r="H558" i="7"/>
  <c r="H557" i="7"/>
  <c r="H556" i="7"/>
  <c r="H550" i="7"/>
  <c r="H549" i="7"/>
  <c r="H548" i="7"/>
  <c r="H547" i="7"/>
  <c r="H546" i="7"/>
  <c r="H545" i="7"/>
  <c r="H544" i="7"/>
  <c r="H543" i="7"/>
  <c r="H461" i="7"/>
  <c r="H457" i="7"/>
  <c r="H455" i="7"/>
  <c r="H454" i="7"/>
  <c r="H453" i="7"/>
  <c r="H452" i="7"/>
  <c r="H451" i="7"/>
  <c r="D61" i="4" s="1"/>
  <c r="H450" i="7"/>
  <c r="H448" i="7"/>
  <c r="H447" i="7"/>
  <c r="H396" i="7"/>
  <c r="H367" i="7"/>
  <c r="H366" i="7"/>
  <c r="H365" i="7"/>
  <c r="H364" i="7"/>
  <c r="H363" i="7"/>
  <c r="H362" i="7"/>
  <c r="H361" i="7"/>
  <c r="H359" i="7"/>
  <c r="H358" i="7"/>
  <c r="H357" i="7"/>
  <c r="H360" i="7"/>
  <c r="H356" i="7"/>
  <c r="H284" i="7"/>
  <c r="H283" i="7"/>
  <c r="H282" i="7"/>
  <c r="D182" i="4" s="1"/>
  <c r="H281" i="7"/>
  <c r="H279" i="7"/>
  <c r="H156" i="7"/>
  <c r="H155" i="7"/>
  <c r="H154" i="7"/>
  <c r="H158" i="7"/>
  <c r="H102" i="7"/>
  <c r="H101" i="7"/>
  <c r="H105" i="7"/>
  <c r="H95" i="7"/>
  <c r="H94" i="7"/>
  <c r="K64" i="7"/>
  <c r="L64" i="7"/>
  <c r="M64" i="7"/>
  <c r="E22" i="4"/>
  <c r="E49" i="4"/>
  <c r="D42" i="9"/>
  <c r="D41" i="9"/>
  <c r="D47" i="16" l="1"/>
  <c r="D27" i="16"/>
  <c r="G23" i="16"/>
  <c r="G17" i="16" s="1"/>
  <c r="D37" i="16"/>
  <c r="D35" i="16" s="1"/>
  <c r="D80" i="16"/>
  <c r="H560" i="7"/>
  <c r="D19" i="16"/>
  <c r="E56" i="16"/>
  <c r="E45" i="16" s="1"/>
  <c r="E15" i="16" s="1"/>
  <c r="E13" i="16" s="1"/>
  <c r="F65" i="16"/>
  <c r="J56" i="16"/>
  <c r="I215" i="4"/>
  <c r="G215" i="4"/>
  <c r="H215" i="4"/>
  <c r="D84" i="16"/>
  <c r="D78" i="16" s="1"/>
  <c r="K356" i="7"/>
  <c r="M356" i="7"/>
  <c r="L356" i="7"/>
  <c r="L640" i="7"/>
  <c r="K640" i="7"/>
  <c r="M640" i="7"/>
  <c r="L545" i="7"/>
  <c r="M545" i="7"/>
  <c r="K545" i="7"/>
  <c r="M396" i="7"/>
  <c r="K396" i="7"/>
  <c r="L396" i="7"/>
  <c r="K563" i="7"/>
  <c r="K560" i="7" s="1"/>
  <c r="L563" i="7"/>
  <c r="L560" i="7" s="1"/>
  <c r="M563" i="7"/>
  <c r="M560" i="7" s="1"/>
  <c r="D141" i="4"/>
  <c r="D61" i="16"/>
  <c r="D150" i="4"/>
  <c r="N35" i="7"/>
  <c r="N360" i="7"/>
  <c r="N557" i="7"/>
  <c r="N36" i="7"/>
  <c r="N279" i="7"/>
  <c r="N556" i="7"/>
  <c r="N37" i="7"/>
  <c r="N31" i="7"/>
  <c r="N25" i="7"/>
  <c r="N284" i="7"/>
  <c r="N361" i="7"/>
  <c r="N367" i="7"/>
  <c r="N447" i="7"/>
  <c r="N453" i="7"/>
  <c r="N569" i="7"/>
  <c r="N739" i="7"/>
  <c r="K739" i="7"/>
  <c r="L739" i="7"/>
  <c r="M739" i="7"/>
  <c r="M94" i="7"/>
  <c r="K94" i="7"/>
  <c r="L94" i="7"/>
  <c r="N94" i="7"/>
  <c r="L588" i="7"/>
  <c r="H61" i="4" s="1"/>
  <c r="M588" i="7"/>
  <c r="I61" i="4" s="1"/>
  <c r="N588" i="7"/>
  <c r="K588" i="7"/>
  <c r="G61" i="4" s="1"/>
  <c r="N30" i="7"/>
  <c r="N356" i="7"/>
  <c r="N448" i="7"/>
  <c r="K747" i="7"/>
  <c r="N747" i="7"/>
  <c r="N32" i="7"/>
  <c r="N26" i="7"/>
  <c r="G36" i="4"/>
  <c r="H36" i="4"/>
  <c r="I36" i="4"/>
  <c r="J36" i="4"/>
  <c r="K155" i="7"/>
  <c r="L155" i="7"/>
  <c r="M155" i="7"/>
  <c r="N155" i="7"/>
  <c r="N283" i="7"/>
  <c r="N359" i="7"/>
  <c r="N366" i="7"/>
  <c r="N452" i="7"/>
  <c r="N549" i="7"/>
  <c r="N563" i="7"/>
  <c r="L591" i="7"/>
  <c r="H182" i="4" s="1"/>
  <c r="M591" i="7"/>
  <c r="I182" i="4" s="1"/>
  <c r="N591" i="7"/>
  <c r="K591" i="7"/>
  <c r="G182" i="4" s="1"/>
  <c r="N728" i="7"/>
  <c r="N29" i="7"/>
  <c r="N363" i="7"/>
  <c r="N748" i="7"/>
  <c r="L18" i="7"/>
  <c r="M18" i="7"/>
  <c r="N18" i="7"/>
  <c r="N396" i="7"/>
  <c r="N568" i="7"/>
  <c r="N33" i="7"/>
  <c r="N27" i="7"/>
  <c r="N154" i="7"/>
  <c r="K154" i="7"/>
  <c r="L154" i="7"/>
  <c r="M154" i="7"/>
  <c r="N282" i="7"/>
  <c r="N358" i="7"/>
  <c r="N365" i="7"/>
  <c r="N451" i="7"/>
  <c r="N461" i="7"/>
  <c r="N562" i="7"/>
  <c r="N560" i="7" s="1"/>
  <c r="K590" i="7"/>
  <c r="L590" i="7"/>
  <c r="N590" i="7"/>
  <c r="N722" i="7"/>
  <c r="N17" i="7"/>
  <c r="N23" i="7"/>
  <c r="N24" i="7"/>
  <c r="N362" i="7"/>
  <c r="N631" i="7"/>
  <c r="L95" i="7"/>
  <c r="M95" i="7"/>
  <c r="N95" i="7"/>
  <c r="K95" i="7"/>
  <c r="N34" i="7"/>
  <c r="N28" i="7"/>
  <c r="L158" i="7"/>
  <c r="M158" i="7"/>
  <c r="N158" i="7"/>
  <c r="K158" i="7"/>
  <c r="N357" i="7"/>
  <c r="N364" i="7"/>
  <c r="N450" i="7"/>
  <c r="N558" i="7"/>
  <c r="N589" i="7"/>
  <c r="K589" i="7"/>
  <c r="L589" i="7"/>
  <c r="M589" i="7"/>
  <c r="N749" i="7"/>
  <c r="K749" i="7"/>
  <c r="L749" i="7"/>
  <c r="M749" i="7"/>
  <c r="N690" i="7"/>
  <c r="N689" i="7" s="1"/>
  <c r="N687" i="7" s="1"/>
  <c r="N640" i="7"/>
  <c r="N547" i="7"/>
  <c r="N546" i="7"/>
  <c r="N550" i="7"/>
  <c r="N548" i="7"/>
  <c r="N545" i="7"/>
  <c r="N544" i="7"/>
  <c r="N543" i="7"/>
  <c r="N460" i="7"/>
  <c r="D187" i="4"/>
  <c r="N454" i="7"/>
  <c r="N457" i="7"/>
  <c r="K613" i="7"/>
  <c r="L613" i="7"/>
  <c r="N613" i="7"/>
  <c r="N455" i="7"/>
  <c r="J215" i="4"/>
  <c r="G229" i="4"/>
  <c r="J229" i="4"/>
  <c r="N281" i="7"/>
  <c r="M105" i="7"/>
  <c r="N105" i="7"/>
  <c r="L105" i="7"/>
  <c r="K105" i="7"/>
  <c r="N102" i="7"/>
  <c r="K101" i="7"/>
  <c r="L101" i="7"/>
  <c r="M101" i="7"/>
  <c r="N101" i="7"/>
  <c r="H99" i="7"/>
  <c r="G42" i="9"/>
  <c r="H42" i="9"/>
  <c r="I42" i="9"/>
  <c r="J42" i="9"/>
  <c r="G41" i="9"/>
  <c r="H41" i="9"/>
  <c r="I41" i="9"/>
  <c r="J41" i="9"/>
  <c r="H394" i="7"/>
  <c r="D193" i="4"/>
  <c r="H16" i="7"/>
  <c r="D40" i="4"/>
  <c r="D185" i="4"/>
  <c r="D186" i="4"/>
  <c r="D139" i="4"/>
  <c r="H566" i="7"/>
  <c r="D49" i="4"/>
  <c r="I23" i="16"/>
  <c r="I17" i="16" s="1"/>
  <c r="J35" i="16"/>
  <c r="J23" i="16" s="1"/>
  <c r="J17" i="16" s="1"/>
  <c r="H35" i="16"/>
  <c r="H23" i="16" s="1"/>
  <c r="H17" i="16" s="1"/>
  <c r="H15" i="16" s="1"/>
  <c r="F25" i="16"/>
  <c r="F23" i="16" s="1"/>
  <c r="F17" i="16" s="1"/>
  <c r="J45" i="16"/>
  <c r="G78" i="16"/>
  <c r="G72" i="16" s="1"/>
  <c r="G70" i="16" s="1"/>
  <c r="D41" i="16"/>
  <c r="D52" i="16"/>
  <c r="D74" i="16"/>
  <c r="I45" i="16"/>
  <c r="I15" i="16" s="1"/>
  <c r="H78" i="16"/>
  <c r="H72" i="16" s="1"/>
  <c r="H70" i="16" s="1"/>
  <c r="D31" i="16"/>
  <c r="I78" i="16"/>
  <c r="I72" i="16" s="1"/>
  <c r="I70" i="16" s="1"/>
  <c r="G45" i="16"/>
  <c r="J78" i="16"/>
  <c r="J72" i="16" s="1"/>
  <c r="J70" i="16" s="1"/>
  <c r="D25" i="16"/>
  <c r="D22" i="4"/>
  <c r="J15" i="16" l="1"/>
  <c r="D72" i="16"/>
  <c r="D70" i="16" s="1"/>
  <c r="G15" i="16"/>
  <c r="G13" i="16"/>
  <c r="D65" i="16"/>
  <c r="F62" i="16"/>
  <c r="F56" i="16" s="1"/>
  <c r="J182" i="4"/>
  <c r="J61" i="4"/>
  <c r="J96" i="4"/>
  <c r="J94" i="4" s="1"/>
  <c r="J40" i="4"/>
  <c r="H22" i="4"/>
  <c r="J139" i="4"/>
  <c r="I22" i="4"/>
  <c r="J54" i="4"/>
  <c r="J78" i="4"/>
  <c r="J75" i="4" s="1"/>
  <c r="J73" i="4" s="1"/>
  <c r="J187" i="4"/>
  <c r="J51" i="4"/>
  <c r="J22" i="4"/>
  <c r="J140" i="4"/>
  <c r="N394" i="7"/>
  <c r="J185" i="4"/>
  <c r="J49" i="4"/>
  <c r="H54" i="4"/>
  <c r="H185" i="4"/>
  <c r="I96" i="4"/>
  <c r="M394" i="7"/>
  <c r="H51" i="4"/>
  <c r="H140" i="4"/>
  <c r="H96" i="4"/>
  <c r="H139" i="4"/>
  <c r="I51" i="4"/>
  <c r="H49" i="4"/>
  <c r="I140" i="4"/>
  <c r="I185" i="4"/>
  <c r="I78" i="4"/>
  <c r="I40" i="4"/>
  <c r="H78" i="4"/>
  <c r="I49" i="4"/>
  <c r="L394" i="7"/>
  <c r="I187" i="4"/>
  <c r="I139" i="4"/>
  <c r="H40" i="4"/>
  <c r="I54" i="4"/>
  <c r="H13" i="16"/>
  <c r="J13" i="16"/>
  <c r="G140" i="4"/>
  <c r="G96" i="4"/>
  <c r="G139" i="4"/>
  <c r="G40" i="4"/>
  <c r="G49" i="4"/>
  <c r="G78" i="4"/>
  <c r="K394" i="7"/>
  <c r="G185" i="4"/>
  <c r="G51" i="4"/>
  <c r="G22" i="4"/>
  <c r="G54" i="4"/>
  <c r="G187" i="4"/>
  <c r="J141" i="4"/>
  <c r="I141" i="4"/>
  <c r="G141" i="4"/>
  <c r="H141" i="4"/>
  <c r="H187" i="4"/>
  <c r="N99" i="7"/>
  <c r="M99" i="7"/>
  <c r="I150" i="4"/>
  <c r="I147" i="4" s="1"/>
  <c r="J150" i="4"/>
  <c r="J147" i="4" s="1"/>
  <c r="G150" i="4"/>
  <c r="G147" i="4" s="1"/>
  <c r="H150" i="4"/>
  <c r="H147" i="4" s="1"/>
  <c r="L99" i="7"/>
  <c r="K99" i="7"/>
  <c r="J44" i="4"/>
  <c r="H193" i="4"/>
  <c r="H188" i="4" s="1"/>
  <c r="N16" i="7"/>
  <c r="G193" i="4"/>
  <c r="G188" i="4" s="1"/>
  <c r="K16" i="7"/>
  <c r="K14" i="7" s="1"/>
  <c r="J186" i="4"/>
  <c r="J193" i="4"/>
  <c r="J188" i="4" s="1"/>
  <c r="L16" i="7"/>
  <c r="I193" i="4"/>
  <c r="I188" i="4" s="1"/>
  <c r="M16" i="7"/>
  <c r="J169" i="4"/>
  <c r="J167" i="4" s="1"/>
  <c r="H92" i="4"/>
  <c r="K566" i="7"/>
  <c r="H44" i="4"/>
  <c r="G186" i="4"/>
  <c r="H186" i="4"/>
  <c r="N566" i="7"/>
  <c r="G169" i="4"/>
  <c r="G167" i="4" s="1"/>
  <c r="G92" i="4"/>
  <c r="I186" i="4"/>
  <c r="J58" i="4"/>
  <c r="J56" i="4" s="1"/>
  <c r="J181" i="4"/>
  <c r="I154" i="4"/>
  <c r="I151" i="4" s="1"/>
  <c r="M566" i="7"/>
  <c r="I38" i="4"/>
  <c r="G44" i="4"/>
  <c r="H169" i="4"/>
  <c r="H167" i="4" s="1"/>
  <c r="J92" i="4"/>
  <c r="J90" i="4" s="1"/>
  <c r="I92" i="4"/>
  <c r="J38" i="4"/>
  <c r="G58" i="4"/>
  <c r="G56" i="4" s="1"/>
  <c r="I181" i="4"/>
  <c r="G62" i="4"/>
  <c r="H154" i="4"/>
  <c r="H151" i="4" s="1"/>
  <c r="H72" i="4"/>
  <c r="I62" i="4"/>
  <c r="J72" i="4"/>
  <c r="G38" i="4"/>
  <c r="L566" i="7"/>
  <c r="H38" i="4"/>
  <c r="I44" i="4"/>
  <c r="I169" i="4"/>
  <c r="I167" i="4" s="1"/>
  <c r="H58" i="4"/>
  <c r="H56" i="4" s="1"/>
  <c r="G181" i="4"/>
  <c r="H62" i="4"/>
  <c r="J154" i="4"/>
  <c r="J151" i="4" s="1"/>
  <c r="I72" i="4"/>
  <c r="I58" i="4"/>
  <c r="I56" i="4" s="1"/>
  <c r="H181" i="4"/>
  <c r="J62" i="4"/>
  <c r="G154" i="4"/>
  <c r="G151" i="4" s="1"/>
  <c r="G72" i="4"/>
  <c r="I13" i="16"/>
  <c r="D23" i="16"/>
  <c r="D17" i="16" s="1"/>
  <c r="J65" i="16" l="1"/>
  <c r="J62" i="16" s="1"/>
  <c r="D62" i="16"/>
  <c r="F45" i="16"/>
  <c r="F15" i="16" s="1"/>
  <c r="F13" i="16" s="1"/>
  <c r="D13" i="16" s="1"/>
  <c r="D56" i="16"/>
  <c r="D45" i="16" s="1"/>
  <c r="D15" i="16" s="1"/>
  <c r="J88" i="4"/>
  <c r="L265" i="3"/>
  <c r="M14" i="7"/>
  <c r="L14" i="7"/>
  <c r="L267" i="3"/>
  <c r="N14" i="7"/>
  <c r="J136" i="4"/>
  <c r="J130" i="4" s="1"/>
  <c r="I136" i="4"/>
  <c r="H136" i="4"/>
  <c r="G136" i="4"/>
  <c r="J265" i="3"/>
  <c r="J267" i="3"/>
  <c r="K265" i="3"/>
  <c r="K267" i="3"/>
  <c r="I265" i="3"/>
  <c r="I267" i="3"/>
  <c r="J178" i="4"/>
  <c r="H183" i="4"/>
  <c r="J183" i="4"/>
  <c r="G59" i="4"/>
  <c r="G183" i="4"/>
  <c r="H59" i="4"/>
  <c r="J59" i="4"/>
  <c r="I183" i="4"/>
  <c r="I178" i="4"/>
  <c r="I59" i="4"/>
  <c r="H178" i="4"/>
  <c r="J176" i="4" l="1"/>
  <c r="J174" i="4" s="1"/>
  <c r="H176" i="4"/>
  <c r="H174" i="4" s="1"/>
  <c r="I176" i="4"/>
  <c r="I174" i="4" s="1"/>
  <c r="J612" i="7" l="1"/>
  <c r="J607" i="7" s="1"/>
  <c r="H232" i="3" s="1"/>
  <c r="K612" i="7"/>
  <c r="L612" i="7"/>
  <c r="M612" i="7"/>
  <c r="H612" i="7"/>
  <c r="M737" i="7"/>
  <c r="L737" i="7"/>
  <c r="K737" i="7"/>
  <c r="L607" i="7" l="1"/>
  <c r="M607" i="7"/>
  <c r="K607" i="7"/>
  <c r="H607" i="7"/>
  <c r="J97" i="7"/>
  <c r="I37" i="3"/>
  <c r="J37" i="3"/>
  <c r="M97" i="7"/>
  <c r="D16" i="9"/>
  <c r="D17" i="9"/>
  <c r="N612" i="7"/>
  <c r="F69" i="9"/>
  <c r="F288" i="3"/>
  <c r="F286" i="3" s="1"/>
  <c r="H288" i="3"/>
  <c r="H286" i="3" s="1"/>
  <c r="N760" i="7"/>
  <c r="N761" i="7"/>
  <c r="N762" i="7"/>
  <c r="N763" i="7"/>
  <c r="N764" i="7"/>
  <c r="N765" i="7"/>
  <c r="N766" i="7"/>
  <c r="I760" i="7"/>
  <c r="I761" i="7"/>
  <c r="I762" i="7"/>
  <c r="I763" i="7"/>
  <c r="I764" i="7"/>
  <c r="I765" i="7"/>
  <c r="I766" i="7"/>
  <c r="I759" i="7"/>
  <c r="L759" i="7" s="1"/>
  <c r="E140" i="4"/>
  <c r="G288" i="3"/>
  <c r="G286" i="3" s="1"/>
  <c r="G285" i="3"/>
  <c r="G283" i="3" s="1"/>
  <c r="N720" i="7"/>
  <c r="N639" i="7"/>
  <c r="I639" i="7"/>
  <c r="I632" i="7"/>
  <c r="E150" i="4" s="1"/>
  <c r="I633" i="7"/>
  <c r="E139" i="4" s="1"/>
  <c r="I634" i="7"/>
  <c r="E141" i="4" s="1"/>
  <c r="F203" i="4"/>
  <c r="F188" i="4"/>
  <c r="E66" i="4"/>
  <c r="E78" i="4"/>
  <c r="E75" i="4" s="1"/>
  <c r="N64" i="7"/>
  <c r="I77" i="7"/>
  <c r="I78" i="7"/>
  <c r="I79" i="7"/>
  <c r="I80" i="7"/>
  <c r="I81" i="7"/>
  <c r="I82" i="7"/>
  <c r="I83" i="7"/>
  <c r="I76" i="7"/>
  <c r="E51" i="4"/>
  <c r="E54" i="4"/>
  <c r="J726" i="7"/>
  <c r="J724" i="7" s="1"/>
  <c r="K726" i="7"/>
  <c r="L726" i="7"/>
  <c r="M726" i="7"/>
  <c r="H726" i="7"/>
  <c r="J541" i="7"/>
  <c r="H235" i="3"/>
  <c r="J628" i="7"/>
  <c r="J627" i="7" s="1"/>
  <c r="J639" i="7"/>
  <c r="H247" i="3" s="1"/>
  <c r="H245" i="3" s="1"/>
  <c r="J720" i="7"/>
  <c r="J744" i="7"/>
  <c r="M639" i="7"/>
  <c r="K639" i="7"/>
  <c r="J74" i="7"/>
  <c r="J64" i="7" s="1"/>
  <c r="J152" i="7"/>
  <c r="M152" i="7"/>
  <c r="I344" i="7"/>
  <c r="J222" i="3"/>
  <c r="K235" i="3"/>
  <c r="L720" i="7"/>
  <c r="J757" i="7"/>
  <c r="J755" i="7" s="1"/>
  <c r="K760" i="7"/>
  <c r="K764" i="7"/>
  <c r="L765" i="7"/>
  <c r="D68" i="4"/>
  <c r="E24" i="4"/>
  <c r="D26" i="4"/>
  <c r="D24" i="4" s="1"/>
  <c r="E27" i="4"/>
  <c r="D29" i="4"/>
  <c r="D27" i="4" s="1"/>
  <c r="E79" i="4"/>
  <c r="E83" i="4"/>
  <c r="D83" i="4"/>
  <c r="E100" i="4"/>
  <c r="E104" i="4"/>
  <c r="E114" i="4"/>
  <c r="E108" i="4" s="1"/>
  <c r="D116" i="4"/>
  <c r="D114" i="4" s="1"/>
  <c r="D117" i="4"/>
  <c r="D118" i="4"/>
  <c r="E125" i="4"/>
  <c r="E119" i="4" s="1"/>
  <c r="D127" i="4"/>
  <c r="D125" i="4" s="1"/>
  <c r="D128" i="4"/>
  <c r="D129" i="4"/>
  <c r="E132" i="4"/>
  <c r="E142" i="4"/>
  <c r="F154" i="4"/>
  <c r="E157" i="4"/>
  <c r="E160" i="4"/>
  <c r="E164" i="4"/>
  <c r="D166" i="4"/>
  <c r="D170" i="4"/>
  <c r="D173" i="4"/>
  <c r="J173" i="4" s="1"/>
  <c r="F194" i="4"/>
  <c r="F200" i="4"/>
  <c r="F213" i="4"/>
  <c r="F211" i="4" s="1"/>
  <c r="G213" i="4"/>
  <c r="G211" i="4" s="1"/>
  <c r="H213" i="4"/>
  <c r="I213" i="4"/>
  <c r="I211" i="4" s="1"/>
  <c r="J213" i="4"/>
  <c r="D214" i="4"/>
  <c r="D218" i="4"/>
  <c r="F219" i="4"/>
  <c r="F216" i="4" s="1"/>
  <c r="D221" i="4"/>
  <c r="G221" i="4" s="1"/>
  <c r="D222" i="4"/>
  <c r="J222" i="4" s="1"/>
  <c r="D223" i="4"/>
  <c r="F224" i="4"/>
  <c r="D226" i="4"/>
  <c r="H226" i="4" s="1"/>
  <c r="H224" i="4" s="1"/>
  <c r="F227" i="4"/>
  <c r="D230" i="4"/>
  <c r="G230" i="4" s="1"/>
  <c r="D231" i="4"/>
  <c r="J231" i="4" s="1"/>
  <c r="D232" i="4"/>
  <c r="F18" i="3"/>
  <c r="F19" i="3"/>
  <c r="G20" i="3"/>
  <c r="H20" i="3"/>
  <c r="F22" i="3"/>
  <c r="F23" i="3"/>
  <c r="F26" i="3"/>
  <c r="F27" i="3"/>
  <c r="G29" i="3"/>
  <c r="F31" i="3"/>
  <c r="F29" i="3" s="1"/>
  <c r="G38" i="3"/>
  <c r="H38" i="3"/>
  <c r="F40" i="3"/>
  <c r="F38" i="3" s="1"/>
  <c r="G43" i="3"/>
  <c r="G41" i="3" s="1"/>
  <c r="H43" i="3"/>
  <c r="H41" i="3" s="1"/>
  <c r="F45" i="3"/>
  <c r="F46" i="3"/>
  <c r="G50" i="3"/>
  <c r="H50" i="3"/>
  <c r="F52" i="3"/>
  <c r="F50" i="3" s="1"/>
  <c r="G53" i="3"/>
  <c r="H53" i="3"/>
  <c r="F55" i="3"/>
  <c r="F53" i="3" s="1"/>
  <c r="G56" i="3"/>
  <c r="H56" i="3"/>
  <c r="F58" i="3"/>
  <c r="F56" i="3" s="1"/>
  <c r="G59" i="3"/>
  <c r="H59" i="3"/>
  <c r="F61" i="3"/>
  <c r="F59" i="3" s="1"/>
  <c r="G67" i="3"/>
  <c r="H67" i="3"/>
  <c r="F69" i="3"/>
  <c r="F70" i="3"/>
  <c r="F71" i="3"/>
  <c r="G72" i="3"/>
  <c r="H72" i="3"/>
  <c r="F74" i="3"/>
  <c r="F72" i="3" s="1"/>
  <c r="G75" i="3"/>
  <c r="H75" i="3"/>
  <c r="F77" i="3"/>
  <c r="F78" i="3"/>
  <c r="G79" i="3"/>
  <c r="H79" i="3"/>
  <c r="F81" i="3"/>
  <c r="F79" i="3" s="1"/>
  <c r="G82" i="3"/>
  <c r="H82" i="3"/>
  <c r="F84" i="3"/>
  <c r="F82" i="3" s="1"/>
  <c r="G85" i="3"/>
  <c r="H85" i="3"/>
  <c r="F87" i="3"/>
  <c r="F85" i="3" s="1"/>
  <c r="G88" i="3"/>
  <c r="H88" i="3"/>
  <c r="F90" i="3"/>
  <c r="F88" i="3" s="1"/>
  <c r="G93" i="3"/>
  <c r="H93" i="3"/>
  <c r="F95" i="3"/>
  <c r="F96" i="3"/>
  <c r="G97" i="3"/>
  <c r="H97" i="3"/>
  <c r="F99" i="3"/>
  <c r="F100" i="3"/>
  <c r="F101" i="3"/>
  <c r="F102" i="3"/>
  <c r="G103" i="3"/>
  <c r="H103" i="3"/>
  <c r="F105" i="3"/>
  <c r="F106" i="3"/>
  <c r="F107" i="3"/>
  <c r="F108" i="3"/>
  <c r="F109" i="3"/>
  <c r="F110" i="3"/>
  <c r="G111" i="3"/>
  <c r="H111" i="3"/>
  <c r="F113" i="3"/>
  <c r="F114" i="3"/>
  <c r="F115" i="3"/>
  <c r="F119" i="3"/>
  <c r="F120" i="3"/>
  <c r="F121" i="3"/>
  <c r="F122" i="3"/>
  <c r="G123" i="3"/>
  <c r="H123" i="3"/>
  <c r="F125" i="3"/>
  <c r="F123" i="3" s="1"/>
  <c r="G126" i="3"/>
  <c r="H126" i="3"/>
  <c r="F128" i="3"/>
  <c r="F129" i="3"/>
  <c r="F130" i="3"/>
  <c r="F131" i="3"/>
  <c r="G132" i="3"/>
  <c r="H132" i="3"/>
  <c r="F134" i="3"/>
  <c r="F135" i="3"/>
  <c r="F136" i="3"/>
  <c r="F137" i="3"/>
  <c r="F138" i="3"/>
  <c r="F139" i="3"/>
  <c r="F140" i="3"/>
  <c r="G149" i="3"/>
  <c r="H149" i="3"/>
  <c r="F151" i="3"/>
  <c r="F149" i="3" s="1"/>
  <c r="G152" i="3"/>
  <c r="H152" i="3"/>
  <c r="F154" i="3"/>
  <c r="F152" i="3" s="1"/>
  <c r="G155" i="3"/>
  <c r="H155" i="3"/>
  <c r="F157" i="3"/>
  <c r="F155" i="3" s="1"/>
  <c r="G158" i="3"/>
  <c r="H158" i="3"/>
  <c r="F160" i="3"/>
  <c r="F158" i="3" s="1"/>
  <c r="G166" i="3"/>
  <c r="H166" i="3"/>
  <c r="F168" i="3"/>
  <c r="F166" i="3" s="1"/>
  <c r="G169" i="3"/>
  <c r="H169" i="3"/>
  <c r="F171" i="3"/>
  <c r="F169" i="3" s="1"/>
  <c r="G172" i="3"/>
  <c r="H172" i="3"/>
  <c r="F174" i="3"/>
  <c r="F172" i="3" s="1"/>
  <c r="G178" i="3"/>
  <c r="H178" i="3"/>
  <c r="F180" i="3"/>
  <c r="F178" i="3"/>
  <c r="G186" i="3"/>
  <c r="H186" i="3"/>
  <c r="F188" i="3"/>
  <c r="F189" i="3"/>
  <c r="F190" i="3"/>
  <c r="G191" i="3"/>
  <c r="H191" i="3"/>
  <c r="F193" i="3"/>
  <c r="F194" i="3"/>
  <c r="F195" i="3"/>
  <c r="F196" i="3"/>
  <c r="G197" i="3"/>
  <c r="H197" i="3"/>
  <c r="F199" i="3"/>
  <c r="F200" i="3"/>
  <c r="F201" i="3"/>
  <c r="F202" i="3"/>
  <c r="G203" i="3"/>
  <c r="H203" i="3"/>
  <c r="F205" i="3"/>
  <c r="F203" i="3" s="1"/>
  <c r="G206" i="3"/>
  <c r="H206" i="3"/>
  <c r="F208" i="3"/>
  <c r="F206" i="3" s="1"/>
  <c r="G209" i="3"/>
  <c r="H209" i="3"/>
  <c r="F211" i="3"/>
  <c r="F212" i="3"/>
  <c r="F223" i="3"/>
  <c r="F224" i="3"/>
  <c r="F225" i="3"/>
  <c r="G227" i="3"/>
  <c r="H227" i="3"/>
  <c r="F229" i="3"/>
  <c r="F230" i="3"/>
  <c r="F231" i="3"/>
  <c r="F236" i="3"/>
  <c r="G237" i="3"/>
  <c r="H237" i="3"/>
  <c r="F239" i="3"/>
  <c r="F237" i="3" s="1"/>
  <c r="H240" i="3"/>
  <c r="F248" i="3"/>
  <c r="G249" i="3"/>
  <c r="H249" i="3"/>
  <c r="F251" i="3"/>
  <c r="F252" i="3"/>
  <c r="G253" i="3"/>
  <c r="H253" i="3"/>
  <c r="F255" i="3"/>
  <c r="F256" i="3"/>
  <c r="G257" i="3"/>
  <c r="H257" i="3"/>
  <c r="F259" i="3"/>
  <c r="F260" i="3"/>
  <c r="G261" i="3"/>
  <c r="H261" i="3"/>
  <c r="F263" i="3"/>
  <c r="F261" i="3" s="1"/>
  <c r="F264" i="3"/>
  <c r="G268" i="3"/>
  <c r="H268" i="3"/>
  <c r="F270" i="3"/>
  <c r="F268" i="3" s="1"/>
  <c r="G271" i="3"/>
  <c r="H271" i="3"/>
  <c r="F273" i="3"/>
  <c r="F271" i="3" s="1"/>
  <c r="G276" i="3"/>
  <c r="H276" i="3"/>
  <c r="F278" i="3"/>
  <c r="F279" i="3"/>
  <c r="G280" i="3"/>
  <c r="H280" i="3"/>
  <c r="F282" i="3"/>
  <c r="F280" i="3" s="1"/>
  <c r="H283" i="3"/>
  <c r="G289" i="3"/>
  <c r="H289" i="3"/>
  <c r="F291" i="3"/>
  <c r="F289" i="3" s="1"/>
  <c r="G298" i="3"/>
  <c r="H298" i="3"/>
  <c r="F300" i="3"/>
  <c r="F298" i="3" s="1"/>
  <c r="E14" i="9"/>
  <c r="D15" i="9"/>
  <c r="E18" i="9"/>
  <c r="D19" i="9"/>
  <c r="D18" i="9" s="1"/>
  <c r="E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E44" i="9"/>
  <c r="E43" i="9" s="1"/>
  <c r="D45" i="9"/>
  <c r="D46" i="9"/>
  <c r="E48" i="9"/>
  <c r="E47" i="9" s="1"/>
  <c r="D49" i="9"/>
  <c r="D50" i="9"/>
  <c r="D51" i="9"/>
  <c r="D52" i="9"/>
  <c r="D55" i="9"/>
  <c r="F56" i="9"/>
  <c r="D57" i="9"/>
  <c r="E58" i="9"/>
  <c r="D59" i="9"/>
  <c r="F60" i="9"/>
  <c r="D61" i="9"/>
  <c r="D63" i="9"/>
  <c r="E64" i="9"/>
  <c r="E62" i="9" s="1"/>
  <c r="D65" i="9"/>
  <c r="D66" i="9"/>
  <c r="D67" i="9"/>
  <c r="D68" i="9"/>
  <c r="D70" i="9"/>
  <c r="D71" i="9"/>
  <c r="F73" i="9"/>
  <c r="D74" i="9"/>
  <c r="E75" i="9"/>
  <c r="D76" i="9"/>
  <c r="E77" i="9"/>
  <c r="D78" i="9"/>
  <c r="D79" i="9"/>
  <c r="D80" i="9"/>
  <c r="D81" i="9"/>
  <c r="E82" i="9"/>
  <c r="D83" i="9"/>
  <c r="D84" i="9"/>
  <c r="D85" i="9"/>
  <c r="D89" i="9"/>
  <c r="D90" i="9"/>
  <c r="D91" i="9"/>
  <c r="D92" i="9"/>
  <c r="D93" i="9"/>
  <c r="D94" i="9"/>
  <c r="E95" i="9"/>
  <c r="E87" i="9" s="1"/>
  <c r="E86" i="9" s="1"/>
  <c r="D96" i="9"/>
  <c r="D97" i="9"/>
  <c r="D98" i="9"/>
  <c r="D99" i="9"/>
  <c r="D100" i="9"/>
  <c r="D101" i="9"/>
  <c r="D102" i="9"/>
  <c r="D103" i="9"/>
  <c r="D104" i="9"/>
  <c r="D106" i="9"/>
  <c r="D107" i="9"/>
  <c r="D108" i="9"/>
  <c r="D109" i="9"/>
  <c r="D110" i="9"/>
  <c r="D111" i="9"/>
  <c r="E112" i="9"/>
  <c r="D113" i="9"/>
  <c r="D114" i="9"/>
  <c r="E115" i="9"/>
  <c r="D116" i="9"/>
  <c r="D117" i="9"/>
  <c r="F118" i="9"/>
  <c r="D119" i="9"/>
  <c r="D120" i="9"/>
  <c r="E121" i="9"/>
  <c r="D122" i="9"/>
  <c r="L639" i="7"/>
  <c r="M735" i="7"/>
  <c r="I235" i="3"/>
  <c r="D78" i="4"/>
  <c r="D66" i="4"/>
  <c r="D140" i="4"/>
  <c r="L152" i="7"/>
  <c r="D132" i="4"/>
  <c r="D58" i="4"/>
  <c r="D62" i="4"/>
  <c r="H92" i="7"/>
  <c r="F222" i="3"/>
  <c r="H277" i="7"/>
  <c r="D181" i="4"/>
  <c r="D38" i="4"/>
  <c r="D154" i="4"/>
  <c r="D157" i="4"/>
  <c r="H585" i="7"/>
  <c r="M585" i="7"/>
  <c r="D92" i="4"/>
  <c r="D54" i="4"/>
  <c r="J286" i="3"/>
  <c r="J288" i="3"/>
  <c r="H392" i="7"/>
  <c r="J285" i="3"/>
  <c r="J283" i="3" s="1"/>
  <c r="H74" i="7"/>
  <c r="H744" i="7"/>
  <c r="H639" i="7"/>
  <c r="D36" i="4"/>
  <c r="M720" i="7"/>
  <c r="K720" i="7"/>
  <c r="F285" i="3"/>
  <c r="F283" i="3" s="1"/>
  <c r="H720" i="7"/>
  <c r="H628" i="7"/>
  <c r="D44" i="4"/>
  <c r="H541" i="7"/>
  <c r="D51" i="4"/>
  <c r="J294" i="3"/>
  <c r="J292" i="3" s="1"/>
  <c r="H429" i="7"/>
  <c r="L628" i="7"/>
  <c r="M541" i="7"/>
  <c r="K744" i="7"/>
  <c r="K554" i="7"/>
  <c r="M628" i="7"/>
  <c r="K541" i="7"/>
  <c r="M554" i="7"/>
  <c r="L554" i="7"/>
  <c r="K585" i="7"/>
  <c r="K222" i="3"/>
  <c r="L541" i="7"/>
  <c r="M744" i="7"/>
  <c r="K628" i="7"/>
  <c r="I294" i="3"/>
  <c r="I292" i="3" s="1"/>
  <c r="I222" i="3"/>
  <c r="L585" i="7"/>
  <c r="L744" i="7"/>
  <c r="K286" i="3"/>
  <c r="K288" i="3"/>
  <c r="K429" i="7"/>
  <c r="K354" i="7"/>
  <c r="M429" i="7"/>
  <c r="L429" i="7"/>
  <c r="L277" i="7"/>
  <c r="L354" i="7"/>
  <c r="I286" i="3"/>
  <c r="I288" i="3"/>
  <c r="M354" i="7"/>
  <c r="K74" i="7"/>
  <c r="M92" i="7"/>
  <c r="K152" i="7"/>
  <c r="K285" i="3"/>
  <c r="K283" i="3" s="1"/>
  <c r="M277" i="7"/>
  <c r="L74" i="7"/>
  <c r="J163" i="3"/>
  <c r="J161" i="3" s="1"/>
  <c r="K392" i="7"/>
  <c r="L92" i="7"/>
  <c r="D72" i="4"/>
  <c r="I285" i="3"/>
  <c r="I283" i="3" s="1"/>
  <c r="K163" i="3"/>
  <c r="K161" i="3" s="1"/>
  <c r="K92" i="7"/>
  <c r="M74" i="7"/>
  <c r="L761" i="7"/>
  <c r="M761" i="7"/>
  <c r="D37" i="4"/>
  <c r="D43" i="4"/>
  <c r="D35" i="4"/>
  <c r="D39" i="4"/>
  <c r="M763" i="7"/>
  <c r="K763" i="7"/>
  <c r="M764" i="7"/>
  <c r="M760" i="7"/>
  <c r="M766" i="7"/>
  <c r="L763" i="7"/>
  <c r="L760" i="7"/>
  <c r="K766" i="7"/>
  <c r="L766" i="7"/>
  <c r="L764" i="7"/>
  <c r="L762" i="7"/>
  <c r="K761" i="7"/>
  <c r="K765" i="7"/>
  <c r="D65" i="4"/>
  <c r="M765" i="7"/>
  <c r="K762" i="7"/>
  <c r="M762" i="7"/>
  <c r="K17" i="3"/>
  <c r="I17" i="3"/>
  <c r="N759" i="7"/>
  <c r="D21" i="4"/>
  <c r="H757" i="7"/>
  <c r="L735" i="7"/>
  <c r="J235" i="3"/>
  <c r="K294" i="3"/>
  <c r="K292" i="3" s="1"/>
  <c r="K735" i="7"/>
  <c r="L286" i="3"/>
  <c r="D200" i="4"/>
  <c r="D79" i="4"/>
  <c r="I232" i="4"/>
  <c r="I218" i="4"/>
  <c r="D142" i="4"/>
  <c r="F276" i="3" l="1"/>
  <c r="F253" i="3"/>
  <c r="F132" i="3"/>
  <c r="F186" i="3"/>
  <c r="F75" i="3"/>
  <c r="G92" i="9"/>
  <c r="H92" i="9"/>
  <c r="I92" i="9"/>
  <c r="I106" i="9"/>
  <c r="G106" i="9"/>
  <c r="H106" i="9"/>
  <c r="G93" i="9"/>
  <c r="H93" i="9"/>
  <c r="I93" i="9"/>
  <c r="I113" i="9"/>
  <c r="G113" i="9"/>
  <c r="H113" i="9"/>
  <c r="G107" i="9"/>
  <c r="H107" i="9"/>
  <c r="I107" i="9"/>
  <c r="G94" i="9"/>
  <c r="H94" i="9"/>
  <c r="I94" i="9"/>
  <c r="G79" i="9"/>
  <c r="H79" i="9"/>
  <c r="I79" i="9"/>
  <c r="G89" i="9"/>
  <c r="H89" i="9"/>
  <c r="I89" i="9"/>
  <c r="G80" i="9"/>
  <c r="H80" i="9"/>
  <c r="I80" i="9"/>
  <c r="G90" i="9"/>
  <c r="H90" i="9"/>
  <c r="I90" i="9"/>
  <c r="G104" i="9"/>
  <c r="H104" i="9"/>
  <c r="G65" i="3"/>
  <c r="H184" i="3"/>
  <c r="H65" i="3"/>
  <c r="F97" i="3"/>
  <c r="F20" i="3"/>
  <c r="F111" i="3"/>
  <c r="F43" i="3"/>
  <c r="F41" i="3" s="1"/>
  <c r="F93" i="3"/>
  <c r="F249" i="3"/>
  <c r="D14" i="9"/>
  <c r="I96" i="9"/>
  <c r="G96" i="9"/>
  <c r="H96" i="9"/>
  <c r="I97" i="9"/>
  <c r="G97" i="9"/>
  <c r="H97" i="9"/>
  <c r="G98" i="9"/>
  <c r="I98" i="9"/>
  <c r="H98" i="9"/>
  <c r="I81" i="9"/>
  <c r="G81" i="9"/>
  <c r="H81" i="9"/>
  <c r="G17" i="9"/>
  <c r="I17" i="9"/>
  <c r="I78" i="9"/>
  <c r="G78" i="9"/>
  <c r="H78" i="9"/>
  <c r="J39" i="4"/>
  <c r="J65" i="4"/>
  <c r="J21" i="4"/>
  <c r="J19" i="4" s="1"/>
  <c r="J17" i="4" s="1"/>
  <c r="J43" i="4"/>
  <c r="J41" i="4" s="1"/>
  <c r="J37" i="4"/>
  <c r="N607" i="7"/>
  <c r="J68" i="4"/>
  <c r="J35" i="4"/>
  <c r="I39" i="4"/>
  <c r="J220" i="3"/>
  <c r="K226" i="3"/>
  <c r="J221" i="3"/>
  <c r="H68" i="4"/>
  <c r="M427" i="7"/>
  <c r="J232" i="3"/>
  <c r="H65" i="4"/>
  <c r="I35" i="4"/>
  <c r="L427" i="7"/>
  <c r="J297" i="3"/>
  <c r="J295" i="3" s="1"/>
  <c r="J217" i="3"/>
  <c r="J215" i="3" s="1"/>
  <c r="M627" i="7"/>
  <c r="K221" i="3"/>
  <c r="H21" i="4"/>
  <c r="M275" i="7"/>
  <c r="K148" i="3"/>
  <c r="K146" i="3" s="1"/>
  <c r="K144" i="3" s="1"/>
  <c r="M150" i="7"/>
  <c r="I68" i="4"/>
  <c r="M90" i="7"/>
  <c r="L275" i="7"/>
  <c r="M742" i="7"/>
  <c r="J64" i="3"/>
  <c r="J62" i="3" s="1"/>
  <c r="J48" i="3" s="1"/>
  <c r="K247" i="3"/>
  <c r="K245" i="3" s="1"/>
  <c r="K243" i="3" s="1"/>
  <c r="K232" i="3"/>
  <c r="H35" i="4"/>
  <c r="H37" i="4"/>
  <c r="M539" i="7"/>
  <c r="H43" i="4"/>
  <c r="L724" i="7"/>
  <c r="K35" i="3"/>
  <c r="I37" i="4"/>
  <c r="M724" i="7"/>
  <c r="I43" i="4"/>
  <c r="I65" i="4"/>
  <c r="J24" i="3"/>
  <c r="J226" i="3"/>
  <c r="L637" i="7"/>
  <c r="H39" i="4"/>
  <c r="K24" i="3"/>
  <c r="J34" i="3"/>
  <c r="J148" i="3"/>
  <c r="J146" i="3" s="1"/>
  <c r="J144" i="3" s="1"/>
  <c r="K220" i="3"/>
  <c r="J242" i="3"/>
  <c r="J240" i="3" s="1"/>
  <c r="K742" i="7"/>
  <c r="G43" i="4"/>
  <c r="I232" i="3"/>
  <c r="G68" i="4"/>
  <c r="I28" i="3"/>
  <c r="H297" i="3"/>
  <c r="H295" i="3" s="1"/>
  <c r="J539" i="7"/>
  <c r="G39" i="4"/>
  <c r="I226" i="3"/>
  <c r="K90" i="7"/>
  <c r="I32" i="3" s="1"/>
  <c r="K539" i="7"/>
  <c r="G35" i="4"/>
  <c r="I177" i="3"/>
  <c r="I175" i="3" s="1"/>
  <c r="I148" i="3"/>
  <c r="I146" i="3" s="1"/>
  <c r="J150" i="7"/>
  <c r="J126" i="7" s="1"/>
  <c r="G37" i="4"/>
  <c r="I64" i="3"/>
  <c r="I62" i="3" s="1"/>
  <c r="I48" i="3" s="1"/>
  <c r="I242" i="3"/>
  <c r="I240" i="3" s="1"/>
  <c r="I221" i="3"/>
  <c r="G65" i="4"/>
  <c r="K637" i="7"/>
  <c r="K635" i="7" s="1"/>
  <c r="K724" i="7"/>
  <c r="H101" i="9"/>
  <c r="J101" i="9"/>
  <c r="G101" i="9"/>
  <c r="I101" i="9"/>
  <c r="G102" i="9"/>
  <c r="H102" i="9"/>
  <c r="I102" i="9"/>
  <c r="J102" i="9"/>
  <c r="I103" i="9"/>
  <c r="H103" i="9"/>
  <c r="J103" i="9"/>
  <c r="G103" i="9"/>
  <c r="I91" i="9"/>
  <c r="J91" i="9"/>
  <c r="H91" i="9"/>
  <c r="G91" i="9"/>
  <c r="I76" i="9"/>
  <c r="J76" i="9"/>
  <c r="H76" i="9"/>
  <c r="G76" i="9"/>
  <c r="G75" i="9" s="1"/>
  <c r="J68" i="9"/>
  <c r="D60" i="9"/>
  <c r="G55" i="9"/>
  <c r="G54" i="9" s="1"/>
  <c r="G52" i="9"/>
  <c r="H52" i="9"/>
  <c r="I52" i="9"/>
  <c r="J52" i="9"/>
  <c r="I83" i="9"/>
  <c r="J83" i="9"/>
  <c r="G83" i="9"/>
  <c r="H83" i="9"/>
  <c r="G74" i="9"/>
  <c r="G73" i="9" s="1"/>
  <c r="H74" i="9"/>
  <c r="I74" i="9"/>
  <c r="J74" i="9"/>
  <c r="J51" i="9"/>
  <c r="G51" i="9"/>
  <c r="H51" i="9"/>
  <c r="I51" i="9"/>
  <c r="I108" i="9"/>
  <c r="G108" i="9"/>
  <c r="H108" i="9"/>
  <c r="J108" i="9"/>
  <c r="J67" i="9"/>
  <c r="G111" i="9"/>
  <c r="H111" i="9"/>
  <c r="I111" i="9"/>
  <c r="J111" i="9"/>
  <c r="G99" i="9"/>
  <c r="H99" i="9"/>
  <c r="I99" i="9"/>
  <c r="J99" i="9"/>
  <c r="G84" i="9"/>
  <c r="H84" i="9"/>
  <c r="I84" i="9"/>
  <c r="J84" i="9"/>
  <c r="J71" i="9"/>
  <c r="J57" i="9"/>
  <c r="G57" i="9"/>
  <c r="G56" i="9" s="1"/>
  <c r="I57" i="9"/>
  <c r="H57" i="9"/>
  <c r="H56" i="9" s="1"/>
  <c r="G49" i="9"/>
  <c r="H49" i="9"/>
  <c r="I49" i="9"/>
  <c r="J49" i="9"/>
  <c r="I66" i="9"/>
  <c r="G66" i="9"/>
  <c r="J66" i="9"/>
  <c r="H66" i="9"/>
  <c r="I100" i="9"/>
  <c r="J100" i="9"/>
  <c r="H100" i="9"/>
  <c r="G100" i="9"/>
  <c r="I85" i="9"/>
  <c r="J85" i="9"/>
  <c r="G85" i="9"/>
  <c r="H85" i="9"/>
  <c r="H65" i="9"/>
  <c r="H50" i="9"/>
  <c r="I50" i="9"/>
  <c r="J50" i="9"/>
  <c r="G50" i="9"/>
  <c r="F232" i="3"/>
  <c r="G46" i="9"/>
  <c r="H46" i="9"/>
  <c r="I46" i="9"/>
  <c r="J46" i="9"/>
  <c r="G45" i="9"/>
  <c r="H45" i="9"/>
  <c r="I45" i="9"/>
  <c r="J45" i="9"/>
  <c r="J70" i="9"/>
  <c r="I231" i="4"/>
  <c r="G18" i="9"/>
  <c r="H18" i="9"/>
  <c r="G40" i="9"/>
  <c r="H40" i="9"/>
  <c r="I40" i="9"/>
  <c r="J40" i="9"/>
  <c r="G34" i="9"/>
  <c r="H34" i="9"/>
  <c r="I34" i="9"/>
  <c r="J34" i="9"/>
  <c r="G28" i="9"/>
  <c r="H28" i="9"/>
  <c r="I28" i="9"/>
  <c r="J28" i="9"/>
  <c r="G35" i="9"/>
  <c r="H35" i="9"/>
  <c r="I35" i="9"/>
  <c r="J35" i="9"/>
  <c r="G29" i="9"/>
  <c r="H29" i="9"/>
  <c r="I29" i="9"/>
  <c r="J29" i="9"/>
  <c r="G23" i="9"/>
  <c r="H23" i="9"/>
  <c r="I23" i="9"/>
  <c r="J23" i="9"/>
  <c r="G36" i="9"/>
  <c r="H36" i="9"/>
  <c r="I36" i="9"/>
  <c r="J36" i="9"/>
  <c r="G30" i="9"/>
  <c r="H30" i="9"/>
  <c r="I30" i="9"/>
  <c r="J30" i="9"/>
  <c r="G24" i="9"/>
  <c r="H24" i="9"/>
  <c r="I24" i="9"/>
  <c r="J24" i="9"/>
  <c r="G37" i="9"/>
  <c r="H37" i="9"/>
  <c r="I37" i="9"/>
  <c r="J37" i="9"/>
  <c r="G25" i="9"/>
  <c r="H25" i="9"/>
  <c r="I25" i="9"/>
  <c r="J25" i="9"/>
  <c r="G39" i="9"/>
  <c r="H39" i="9"/>
  <c r="I39" i="9"/>
  <c r="J39" i="9"/>
  <c r="G33" i="9"/>
  <c r="H33" i="9"/>
  <c r="I33" i="9"/>
  <c r="J33" i="9"/>
  <c r="G27" i="9"/>
  <c r="H27" i="9"/>
  <c r="I27" i="9"/>
  <c r="J27" i="9"/>
  <c r="G31" i="9"/>
  <c r="H31" i="9"/>
  <c r="I31" i="9"/>
  <c r="J31" i="9"/>
  <c r="G38" i="9"/>
  <c r="H38" i="9"/>
  <c r="I38" i="9"/>
  <c r="J38" i="9"/>
  <c r="G32" i="9"/>
  <c r="H32" i="9"/>
  <c r="I32" i="9"/>
  <c r="J32" i="9"/>
  <c r="G26" i="9"/>
  <c r="H26" i="9"/>
  <c r="I26" i="9"/>
  <c r="J26" i="9"/>
  <c r="J89" i="9"/>
  <c r="J90" i="9"/>
  <c r="J79" i="9"/>
  <c r="J80" i="9"/>
  <c r="J113" i="9"/>
  <c r="I109" i="9"/>
  <c r="J109" i="9"/>
  <c r="G109" i="9"/>
  <c r="H109" i="9"/>
  <c r="J110" i="9"/>
  <c r="G110" i="9"/>
  <c r="I110" i="9"/>
  <c r="H110" i="9"/>
  <c r="J107" i="9"/>
  <c r="J105" i="9"/>
  <c r="J106" i="9"/>
  <c r="J104" i="9"/>
  <c r="J97" i="9"/>
  <c r="J98" i="9"/>
  <c r="J93" i="9"/>
  <c r="J94" i="9"/>
  <c r="J92" i="9"/>
  <c r="H17" i="9"/>
  <c r="G16" i="9"/>
  <c r="H16" i="9"/>
  <c r="I16" i="9"/>
  <c r="H15" i="9"/>
  <c r="I15" i="9"/>
  <c r="G15" i="9"/>
  <c r="I63" i="9"/>
  <c r="J63" i="9"/>
  <c r="G63" i="9"/>
  <c r="H63" i="9"/>
  <c r="F217" i="3"/>
  <c r="F215" i="3" s="1"/>
  <c r="F226" i="3"/>
  <c r="F221" i="3"/>
  <c r="F118" i="3"/>
  <c r="F116" i="3" s="1"/>
  <c r="F247" i="3"/>
  <c r="F245" i="3" s="1"/>
  <c r="F242" i="3"/>
  <c r="F240" i="3" s="1"/>
  <c r="H64" i="7"/>
  <c r="F24" i="3" s="1"/>
  <c r="F304" i="3"/>
  <c r="F302" i="3" s="1"/>
  <c r="F177" i="3"/>
  <c r="F175" i="3" s="1"/>
  <c r="H742" i="7"/>
  <c r="F34" i="3"/>
  <c r="H724" i="7"/>
  <c r="J124" i="9"/>
  <c r="G121" i="9"/>
  <c r="I121" i="9"/>
  <c r="J96" i="9"/>
  <c r="J59" i="9"/>
  <c r="G231" i="4"/>
  <c r="I222" i="4"/>
  <c r="H230" i="4"/>
  <c r="G222" i="4"/>
  <c r="H222" i="4"/>
  <c r="J214" i="4"/>
  <c r="D211" i="4"/>
  <c r="I173" i="4"/>
  <c r="J230" i="4"/>
  <c r="H223" i="4"/>
  <c r="G218" i="4"/>
  <c r="H231" i="4"/>
  <c r="D164" i="4"/>
  <c r="I166" i="4"/>
  <c r="I164" i="4" s="1"/>
  <c r="I145" i="4" s="1"/>
  <c r="J166" i="4"/>
  <c r="J164" i="4" s="1"/>
  <c r="J145" i="4" s="1"/>
  <c r="H166" i="4"/>
  <c r="H164" i="4" s="1"/>
  <c r="H145" i="4" s="1"/>
  <c r="G166" i="4"/>
  <c r="G164" i="4" s="1"/>
  <c r="G145" i="4" s="1"/>
  <c r="J226" i="4"/>
  <c r="J224" i="4" s="1"/>
  <c r="H232" i="4"/>
  <c r="I226" i="4"/>
  <c r="I224" i="4" s="1"/>
  <c r="J232" i="4"/>
  <c r="H214" i="4"/>
  <c r="G232" i="4"/>
  <c r="H173" i="4"/>
  <c r="D227" i="4"/>
  <c r="G173" i="4"/>
  <c r="D224" i="4"/>
  <c r="G226" i="4"/>
  <c r="G224" i="4" s="1"/>
  <c r="I221" i="4"/>
  <c r="J81" i="9"/>
  <c r="J78" i="9"/>
  <c r="J19" i="9"/>
  <c r="J16" i="9"/>
  <c r="J15" i="9"/>
  <c r="D90" i="4"/>
  <c r="D56" i="4"/>
  <c r="D75" i="4"/>
  <c r="D73" i="4" s="1"/>
  <c r="D19" i="4"/>
  <c r="D17" i="4" s="1"/>
  <c r="D147" i="4"/>
  <c r="J17" i="9"/>
  <c r="J211" i="4"/>
  <c r="D95" i="9"/>
  <c r="D87" i="9" s="1"/>
  <c r="F227" i="3"/>
  <c r="F209" i="3"/>
  <c r="F191" i="3"/>
  <c r="D119" i="4"/>
  <c r="D108" i="4"/>
  <c r="D100" i="4"/>
  <c r="F257" i="3"/>
  <c r="F197" i="3"/>
  <c r="G184" i="3"/>
  <c r="F126" i="3"/>
  <c r="F103" i="3"/>
  <c r="F67" i="3"/>
  <c r="F65" i="3" s="1"/>
  <c r="D194" i="4"/>
  <c r="D104" i="4"/>
  <c r="E73" i="4"/>
  <c r="H211" i="4"/>
  <c r="F209" i="4"/>
  <c r="J346" i="7" s="1"/>
  <c r="H346" i="7" s="1"/>
  <c r="F143" i="3" s="1"/>
  <c r="I65" i="9"/>
  <c r="E53" i="9"/>
  <c r="F53" i="9"/>
  <c r="H64" i="3"/>
  <c r="H62" i="3" s="1"/>
  <c r="H48" i="3" s="1"/>
  <c r="D41" i="4"/>
  <c r="G67" i="9"/>
  <c r="H627" i="7"/>
  <c r="K297" i="3"/>
  <c r="K295" i="3" s="1"/>
  <c r="G58" i="9"/>
  <c r="H755" i="7"/>
  <c r="G65" i="9"/>
  <c r="I297" i="3"/>
  <c r="I295" i="3" s="1"/>
  <c r="K427" i="7"/>
  <c r="J65" i="9"/>
  <c r="D112" i="9"/>
  <c r="H68" i="9"/>
  <c r="J55" i="9"/>
  <c r="H67" i="9"/>
  <c r="D44" i="9"/>
  <c r="I71" i="9"/>
  <c r="I612" i="7"/>
  <c r="I607" i="7" s="1"/>
  <c r="G232" i="3" s="1"/>
  <c r="N726" i="7"/>
  <c r="G61" i="9"/>
  <c r="G60" i="9" s="1"/>
  <c r="D54" i="9"/>
  <c r="D58" i="9"/>
  <c r="I68" i="9"/>
  <c r="E21" i="9"/>
  <c r="E20" i="9" s="1"/>
  <c r="E13" i="9" s="1"/>
  <c r="D121" i="9"/>
  <c r="I58" i="9"/>
  <c r="I55" i="9"/>
  <c r="D48" i="9"/>
  <c r="G118" i="9"/>
  <c r="H58" i="9"/>
  <c r="I73" i="9"/>
  <c r="I67" i="9"/>
  <c r="G68" i="9"/>
  <c r="D73" i="9"/>
  <c r="H55" i="9"/>
  <c r="D118" i="9"/>
  <c r="D115" i="9"/>
  <c r="J61" i="9"/>
  <c r="G71" i="9"/>
  <c r="D75" i="9"/>
  <c r="D56" i="9"/>
  <c r="I61" i="9"/>
  <c r="E72" i="9"/>
  <c r="H71" i="9"/>
  <c r="H61" i="9"/>
  <c r="D82" i="9"/>
  <c r="D22" i="9"/>
  <c r="H118" i="9"/>
  <c r="D77" i="9"/>
  <c r="D69" i="9"/>
  <c r="K34" i="3"/>
  <c r="D64" i="9"/>
  <c r="I720" i="7"/>
  <c r="I24" i="3"/>
  <c r="F235" i="3"/>
  <c r="N97" i="7"/>
  <c r="M759" i="7"/>
  <c r="K28" i="3"/>
  <c r="K759" i="7"/>
  <c r="I726" i="7"/>
  <c r="I724" i="7" s="1"/>
  <c r="K242" i="3"/>
  <c r="K240" i="3" s="1"/>
  <c r="F28" i="3"/>
  <c r="E36" i="4"/>
  <c r="J28" i="3"/>
  <c r="H427" i="7"/>
  <c r="J637" i="7"/>
  <c r="J635" i="7" s="1"/>
  <c r="I737" i="7"/>
  <c r="G294" i="3" s="1"/>
  <c r="G292" i="3" s="1"/>
  <c r="K37" i="3"/>
  <c r="I628" i="7"/>
  <c r="I627" i="7" s="1"/>
  <c r="N628" i="7"/>
  <c r="M352" i="7"/>
  <c r="K177" i="3"/>
  <c r="K175" i="3" s="1"/>
  <c r="D59" i="4"/>
  <c r="I15" i="3"/>
  <c r="E98" i="4"/>
  <c r="J221" i="4"/>
  <c r="H221" i="4"/>
  <c r="D160" i="4"/>
  <c r="H218" i="4"/>
  <c r="D219" i="4"/>
  <c r="I230" i="4"/>
  <c r="G223" i="4"/>
  <c r="I214" i="4"/>
  <c r="G214" i="4"/>
  <c r="J223" i="4"/>
  <c r="I223" i="4"/>
  <c r="J218" i="4"/>
  <c r="D203" i="4"/>
  <c r="J118" i="3"/>
  <c r="J116" i="3" s="1"/>
  <c r="E44" i="4"/>
  <c r="J15" i="3"/>
  <c r="K217" i="3"/>
  <c r="K215" i="3" s="1"/>
  <c r="F297" i="3"/>
  <c r="F295" i="3" s="1"/>
  <c r="L288" i="3"/>
  <c r="K150" i="7"/>
  <c r="E43" i="4"/>
  <c r="I585" i="7"/>
  <c r="L285" i="3"/>
  <c r="L283" i="3" s="1"/>
  <c r="K627" i="7"/>
  <c r="L627" i="7"/>
  <c r="H637" i="7"/>
  <c r="J429" i="7"/>
  <c r="E62" i="4"/>
  <c r="I163" i="3"/>
  <c r="I161" i="3" s="1"/>
  <c r="E68" i="4"/>
  <c r="G163" i="3"/>
  <c r="G161" i="3" s="1"/>
  <c r="F181" i="4"/>
  <c r="I744" i="7"/>
  <c r="N744" i="7"/>
  <c r="I757" i="7"/>
  <c r="G304" i="3" s="1"/>
  <c r="G302" i="3" s="1"/>
  <c r="J247" i="3"/>
  <c r="J245" i="3" s="1"/>
  <c r="J243" i="3" s="1"/>
  <c r="D151" i="4"/>
  <c r="N92" i="7"/>
  <c r="K552" i="7"/>
  <c r="L742" i="7"/>
  <c r="E65" i="4"/>
  <c r="F163" i="3"/>
  <c r="F161" i="3" s="1"/>
  <c r="N74" i="7"/>
  <c r="E58" i="4"/>
  <c r="E56" i="4" s="1"/>
  <c r="N152" i="7"/>
  <c r="I277" i="7"/>
  <c r="N277" i="7"/>
  <c r="N757" i="7"/>
  <c r="M637" i="7"/>
  <c r="H90" i="7"/>
  <c r="E39" i="4"/>
  <c r="J277" i="7"/>
  <c r="E38" i="4"/>
  <c r="I554" i="7"/>
  <c r="N554" i="7"/>
  <c r="G222" i="3"/>
  <c r="N585" i="7"/>
  <c r="I220" i="3"/>
  <c r="E154" i="4"/>
  <c r="E151" i="4" s="1"/>
  <c r="E37" i="4"/>
  <c r="N354" i="7"/>
  <c r="I429" i="7"/>
  <c r="I541" i="7"/>
  <c r="G247" i="3"/>
  <c r="G245" i="3" s="1"/>
  <c r="I637" i="7"/>
  <c r="N637" i="7"/>
  <c r="L247" i="3"/>
  <c r="L245" i="3" s="1"/>
  <c r="L97" i="7"/>
  <c r="L757" i="7"/>
  <c r="E35" i="4"/>
  <c r="J585" i="7"/>
  <c r="I74" i="7"/>
  <c r="I64" i="7" s="1"/>
  <c r="J177" i="3"/>
  <c r="J175" i="3" s="1"/>
  <c r="L150" i="7"/>
  <c r="L392" i="7"/>
  <c r="I92" i="7"/>
  <c r="I217" i="3"/>
  <c r="I215" i="3" s="1"/>
  <c r="M392" i="7"/>
  <c r="I247" i="3"/>
  <c r="I245" i="3" s="1"/>
  <c r="I243" i="3" s="1"/>
  <c r="L90" i="7"/>
  <c r="K97" i="7"/>
  <c r="J742" i="7"/>
  <c r="J92" i="7"/>
  <c r="N429" i="7"/>
  <c r="J445" i="7"/>
  <c r="N541" i="7"/>
  <c r="L352" i="7"/>
  <c r="I354" i="7"/>
  <c r="L222" i="3"/>
  <c r="K352" i="7"/>
  <c r="H243" i="3"/>
  <c r="D63" i="4"/>
  <c r="D136" i="4"/>
  <c r="D130" i="4" s="1"/>
  <c r="E21" i="4"/>
  <c r="E19" i="4" s="1"/>
  <c r="E17" i="4" s="1"/>
  <c r="L539" i="7"/>
  <c r="H539" i="7"/>
  <c r="E92" i="4"/>
  <c r="E90" i="4" s="1"/>
  <c r="L235" i="3"/>
  <c r="E147" i="4"/>
  <c r="M552" i="7"/>
  <c r="L552" i="7"/>
  <c r="K118" i="3"/>
  <c r="K116" i="3" s="1"/>
  <c r="E72" i="4"/>
  <c r="H275" i="7"/>
  <c r="K64" i="3"/>
  <c r="K62" i="3" s="1"/>
  <c r="K48" i="3" s="1"/>
  <c r="I34" i="3"/>
  <c r="D32" i="4"/>
  <c r="F184" i="3" l="1"/>
  <c r="H64" i="9"/>
  <c r="G95" i="9"/>
  <c r="G87" i="9" s="1"/>
  <c r="G86" i="9" s="1"/>
  <c r="F243" i="3"/>
  <c r="J344" i="7"/>
  <c r="H143" i="3"/>
  <c r="H141" i="3" s="1"/>
  <c r="I60" i="9"/>
  <c r="J44" i="9"/>
  <c r="H75" i="9"/>
  <c r="J18" i="9"/>
  <c r="J60" i="9"/>
  <c r="I54" i="9"/>
  <c r="I69" i="9"/>
  <c r="J58" i="9"/>
  <c r="J75" i="9"/>
  <c r="H60" i="9"/>
  <c r="J54" i="9"/>
  <c r="I112" i="9"/>
  <c r="H73" i="9"/>
  <c r="J73" i="9"/>
  <c r="I56" i="9"/>
  <c r="H54" i="9"/>
  <c r="J56" i="9"/>
  <c r="I75" i="9"/>
  <c r="J32" i="4"/>
  <c r="J63" i="4"/>
  <c r="N635" i="7"/>
  <c r="L28" i="3"/>
  <c r="N352" i="7"/>
  <c r="N90" i="7"/>
  <c r="L220" i="3"/>
  <c r="N539" i="7"/>
  <c r="L64" i="3"/>
  <c r="L62" i="3" s="1"/>
  <c r="L48" i="3" s="1"/>
  <c r="L226" i="3"/>
  <c r="L297" i="3"/>
  <c r="L295" i="3" s="1"/>
  <c r="L35" i="3"/>
  <c r="N724" i="7"/>
  <c r="L232" i="3"/>
  <c r="N755" i="7"/>
  <c r="N627" i="7"/>
  <c r="L221" i="3"/>
  <c r="L118" i="3"/>
  <c r="L116" i="3" s="1"/>
  <c r="M12" i="7"/>
  <c r="I63" i="4"/>
  <c r="H63" i="4"/>
  <c r="M635" i="7"/>
  <c r="K218" i="3"/>
  <c r="K213" i="3" s="1"/>
  <c r="I21" i="4"/>
  <c r="K32" i="3"/>
  <c r="M126" i="7"/>
  <c r="G63" i="4"/>
  <c r="I144" i="3"/>
  <c r="J32" i="3"/>
  <c r="L126" i="7"/>
  <c r="J35" i="3"/>
  <c r="L635" i="7"/>
  <c r="I352" i="7"/>
  <c r="G221" i="3"/>
  <c r="I218" i="3"/>
  <c r="I213" i="3" s="1"/>
  <c r="G226" i="3"/>
  <c r="K350" i="7"/>
  <c r="H183" i="3"/>
  <c r="H181" i="3" s="1"/>
  <c r="G118" i="3"/>
  <c r="G116" i="3" s="1"/>
  <c r="G91" i="3" s="1"/>
  <c r="G220" i="3"/>
  <c r="K126" i="7"/>
  <c r="J427" i="7"/>
  <c r="I427" i="7"/>
  <c r="J275" i="7"/>
  <c r="H226" i="3"/>
  <c r="I742" i="7"/>
  <c r="I35" i="3"/>
  <c r="I13" i="3" s="1"/>
  <c r="I539" i="7"/>
  <c r="G21" i="4"/>
  <c r="G64" i="9"/>
  <c r="J77" i="9"/>
  <c r="J64" i="9"/>
  <c r="H44" i="9"/>
  <c r="G82" i="9"/>
  <c r="J112" i="9"/>
  <c r="I44" i="9"/>
  <c r="D62" i="9"/>
  <c r="D53" i="9" s="1"/>
  <c r="H95" i="9"/>
  <c r="I95" i="9"/>
  <c r="I77" i="9"/>
  <c r="D47" i="9"/>
  <c r="J48" i="9"/>
  <c r="G48" i="9"/>
  <c r="G47" i="9" s="1"/>
  <c r="H48" i="9"/>
  <c r="I48" i="9"/>
  <c r="I64" i="9"/>
  <c r="G44" i="9"/>
  <c r="G43" i="9" s="1"/>
  <c r="G69" i="9"/>
  <c r="J69" i="9"/>
  <c r="D43" i="9"/>
  <c r="H77" i="9"/>
  <c r="H69" i="9"/>
  <c r="G22" i="9"/>
  <c r="G21" i="9" s="1"/>
  <c r="G20" i="9" s="1"/>
  <c r="H22" i="9"/>
  <c r="I22" i="9"/>
  <c r="J22" i="9"/>
  <c r="J95" i="9"/>
  <c r="F32" i="3"/>
  <c r="H635" i="7"/>
  <c r="D86" i="9"/>
  <c r="D72" i="9" s="1"/>
  <c r="G227" i="4"/>
  <c r="G219" i="4"/>
  <c r="G216" i="4" s="1"/>
  <c r="H227" i="4"/>
  <c r="J227" i="4"/>
  <c r="H219" i="4"/>
  <c r="H216" i="4" s="1"/>
  <c r="I219" i="4"/>
  <c r="I216" i="4" s="1"/>
  <c r="D216" i="4"/>
  <c r="G14" i="9"/>
  <c r="I14" i="9"/>
  <c r="J14" i="9"/>
  <c r="D98" i="4"/>
  <c r="D21" i="9"/>
  <c r="L243" i="3"/>
  <c r="H177" i="3"/>
  <c r="H175" i="3" s="1"/>
  <c r="G242" i="3"/>
  <c r="G240" i="3" s="1"/>
  <c r="J118" i="9"/>
  <c r="H82" i="9"/>
  <c r="G235" i="3"/>
  <c r="H121" i="9"/>
  <c r="H112" i="9"/>
  <c r="H62" i="9"/>
  <c r="I118" i="9"/>
  <c r="N150" i="7"/>
  <c r="K757" i="7"/>
  <c r="J121" i="9"/>
  <c r="I82" i="9"/>
  <c r="G112" i="9"/>
  <c r="J62" i="9"/>
  <c r="G217" i="3"/>
  <c r="G215" i="3" s="1"/>
  <c r="J82" i="9"/>
  <c r="I62" i="9"/>
  <c r="G77" i="9"/>
  <c r="E12" i="9"/>
  <c r="G62" i="9"/>
  <c r="H14" i="9"/>
  <c r="L304" i="3"/>
  <c r="L302" i="3" s="1"/>
  <c r="I275" i="7"/>
  <c r="I215" i="7" s="1"/>
  <c r="N742" i="7"/>
  <c r="M757" i="7"/>
  <c r="M350" i="7"/>
  <c r="I635" i="7"/>
  <c r="L242" i="3"/>
  <c r="L240" i="3" s="1"/>
  <c r="E136" i="4"/>
  <c r="E130" i="4" s="1"/>
  <c r="I735" i="7"/>
  <c r="L34" i="3"/>
  <c r="L24" i="3"/>
  <c r="L148" i="3"/>
  <c r="L146" i="3" s="1"/>
  <c r="E41" i="4"/>
  <c r="G297" i="3"/>
  <c r="G295" i="3" s="1"/>
  <c r="G274" i="3" s="1"/>
  <c r="L217" i="3"/>
  <c r="L215" i="3" s="1"/>
  <c r="J219" i="4"/>
  <c r="J216" i="4" s="1"/>
  <c r="E59" i="4"/>
  <c r="J17" i="3"/>
  <c r="E63" i="4"/>
  <c r="H163" i="3"/>
  <c r="H161" i="3" s="1"/>
  <c r="J392" i="7"/>
  <c r="G148" i="3"/>
  <c r="G146" i="3" s="1"/>
  <c r="G144" i="3" s="1"/>
  <c r="N275" i="7"/>
  <c r="E32" i="4"/>
  <c r="K12" i="7"/>
  <c r="I392" i="7"/>
  <c r="G177" i="3"/>
  <c r="G175" i="3" s="1"/>
  <c r="L12" i="7"/>
  <c r="I755" i="7"/>
  <c r="K537" i="7"/>
  <c r="H118" i="3"/>
  <c r="H116" i="3" s="1"/>
  <c r="H91" i="3" s="1"/>
  <c r="L350" i="7"/>
  <c r="G243" i="3"/>
  <c r="I552" i="7"/>
  <c r="I90" i="7"/>
  <c r="G34" i="3"/>
  <c r="N427" i="7"/>
  <c r="L177" i="3"/>
  <c r="L175" i="3" s="1"/>
  <c r="N392" i="7"/>
  <c r="L163" i="3"/>
  <c r="L161" i="3" s="1"/>
  <c r="J304" i="3"/>
  <c r="J302" i="3" s="1"/>
  <c r="J274" i="3" s="1"/>
  <c r="L755" i="7"/>
  <c r="N552" i="7"/>
  <c r="J443" i="7"/>
  <c r="L17" i="3"/>
  <c r="J90" i="7"/>
  <c r="H34" i="3"/>
  <c r="G24" i="3"/>
  <c r="G28" i="3"/>
  <c r="M537" i="7"/>
  <c r="L537" i="7"/>
  <c r="J218" i="3"/>
  <c r="J213" i="3" s="1"/>
  <c r="K15" i="3"/>
  <c r="J215" i="7" l="1"/>
  <c r="F141" i="3"/>
  <c r="F91" i="3" s="1"/>
  <c r="H344" i="7"/>
  <c r="J87" i="9"/>
  <c r="H43" i="9"/>
  <c r="H47" i="9"/>
  <c r="I47" i="9"/>
  <c r="I87" i="9"/>
  <c r="J43" i="9"/>
  <c r="H21" i="9"/>
  <c r="I43" i="9"/>
  <c r="I53" i="9"/>
  <c r="I21" i="9"/>
  <c r="H87" i="9"/>
  <c r="J21" i="9"/>
  <c r="J47" i="9"/>
  <c r="L218" i="3"/>
  <c r="L213" i="3" s="1"/>
  <c r="L32" i="3"/>
  <c r="N126" i="7"/>
  <c r="N350" i="7"/>
  <c r="H164" i="3"/>
  <c r="J13" i="3"/>
  <c r="K304" i="3"/>
  <c r="K302" i="3" s="1"/>
  <c r="K274" i="3" s="1"/>
  <c r="L705" i="7"/>
  <c r="K13" i="3"/>
  <c r="I537" i="7"/>
  <c r="I350" i="7"/>
  <c r="I304" i="3"/>
  <c r="I302" i="3" s="1"/>
  <c r="I274" i="3" s="1"/>
  <c r="J407" i="7"/>
  <c r="G53" i="9"/>
  <c r="J53" i="9"/>
  <c r="H53" i="9"/>
  <c r="D20" i="9"/>
  <c r="G13" i="9"/>
  <c r="G209" i="4"/>
  <c r="K346" i="7" s="1"/>
  <c r="J209" i="4"/>
  <c r="N346" i="7" s="1"/>
  <c r="H209" i="4"/>
  <c r="L346" i="7" s="1"/>
  <c r="D209" i="4"/>
  <c r="G72" i="9"/>
  <c r="K755" i="7"/>
  <c r="I705" i="7"/>
  <c r="M755" i="7"/>
  <c r="L144" i="3"/>
  <c r="G218" i="3"/>
  <c r="G213" i="3" s="1"/>
  <c r="N537" i="7"/>
  <c r="H32" i="3"/>
  <c r="L15" i="3"/>
  <c r="N12" i="7"/>
  <c r="G32" i="3"/>
  <c r="H215" i="7" l="1"/>
  <c r="L143" i="3"/>
  <c r="L141" i="3" s="1"/>
  <c r="L91" i="3" s="1"/>
  <c r="N344" i="7"/>
  <c r="N215" i="7" s="1"/>
  <c r="I86" i="9"/>
  <c r="I20" i="9"/>
  <c r="J20" i="9"/>
  <c r="H86" i="9"/>
  <c r="H20" i="9"/>
  <c r="J86" i="9"/>
  <c r="L13" i="3"/>
  <c r="I172" i="4"/>
  <c r="H172" i="4"/>
  <c r="G172" i="4"/>
  <c r="M705" i="7"/>
  <c r="K705" i="7"/>
  <c r="D13" i="9"/>
  <c r="G12" i="9"/>
  <c r="H737" i="7"/>
  <c r="J737" i="7"/>
  <c r="H294" i="3" s="1"/>
  <c r="H292" i="3" s="1"/>
  <c r="H274" i="3" s="1"/>
  <c r="I72" i="9" l="1"/>
  <c r="J72" i="9"/>
  <c r="H72" i="9"/>
  <c r="J13" i="9"/>
  <c r="H13" i="9"/>
  <c r="I13" i="9"/>
  <c r="J143" i="3"/>
  <c r="J141" i="3" s="1"/>
  <c r="J91" i="3" s="1"/>
  <c r="L344" i="7"/>
  <c r="K344" i="7"/>
  <c r="I143" i="3"/>
  <c r="I141" i="3" s="1"/>
  <c r="D12" i="9"/>
  <c r="F294" i="3"/>
  <c r="F292" i="3" s="1"/>
  <c r="F274" i="3" s="1"/>
  <c r="H735" i="7"/>
  <c r="J735" i="7"/>
  <c r="J705" i="7" s="1"/>
  <c r="N737" i="7"/>
  <c r="I12" i="9" l="1"/>
  <c r="H12" i="9"/>
  <c r="J12" i="9"/>
  <c r="L215" i="7"/>
  <c r="H705" i="7"/>
  <c r="N735" i="7"/>
  <c r="L294" i="3"/>
  <c r="L292" i="3" s="1"/>
  <c r="L274" i="3" s="1"/>
  <c r="N705" i="7" l="1"/>
  <c r="J777" i="7"/>
  <c r="G310" i="3"/>
  <c r="G308" i="3" s="1"/>
  <c r="G306" i="3" s="1"/>
  <c r="I774" i="7"/>
  <c r="E172" i="4"/>
  <c r="E170" i="4" s="1"/>
  <c r="D188" i="4"/>
  <c r="F185" i="4"/>
  <c r="H14" i="7"/>
  <c r="D180" i="4"/>
  <c r="G17" i="3"/>
  <c r="J774" i="7" l="1"/>
  <c r="N777" i="7"/>
  <c r="I772" i="7"/>
  <c r="H17" i="3"/>
  <c r="D178" i="4"/>
  <c r="F180" i="4"/>
  <c r="F178" i="4" s="1"/>
  <c r="F15" i="3"/>
  <c r="F17" i="3"/>
  <c r="J172" i="4" l="1"/>
  <c r="J12" i="7"/>
  <c r="G15" i="3"/>
  <c r="H15" i="3" l="1"/>
  <c r="H13" i="3" s="1"/>
  <c r="D169" i="4"/>
  <c r="D167" i="4" s="1"/>
  <c r="E169" i="4"/>
  <c r="F37" i="3"/>
  <c r="D145" i="4" l="1"/>
  <c r="E167" i="4"/>
  <c r="E145" i="4" s="1"/>
  <c r="G37" i="3"/>
  <c r="H97" i="7"/>
  <c r="H12" i="7" l="1"/>
  <c r="I97" i="7"/>
  <c r="G35" i="3" s="1"/>
  <c r="G13" i="3" s="1"/>
  <c r="F35" i="3"/>
  <c r="F13" i="3" s="1"/>
  <c r="I12" i="7" l="1"/>
  <c r="D96" i="4"/>
  <c r="H152" i="7"/>
  <c r="E96" i="4"/>
  <c r="E94" i="4" s="1"/>
  <c r="E88" i="4" s="1"/>
  <c r="H150" i="7" l="1"/>
  <c r="D94" i="4"/>
  <c r="D88" i="4" s="1"/>
  <c r="F64" i="3"/>
  <c r="F62" i="3" s="1"/>
  <c r="F48" i="3" s="1"/>
  <c r="I152" i="7"/>
  <c r="H126" i="7" l="1"/>
  <c r="I150" i="7"/>
  <c r="I126" i="7" s="1"/>
  <c r="G64" i="3"/>
  <c r="G62" i="3" s="1"/>
  <c r="G48" i="3" s="1"/>
  <c r="J354" i="7" l="1"/>
  <c r="H354" i="7"/>
  <c r="H148" i="3" l="1"/>
  <c r="H146" i="3" s="1"/>
  <c r="H144" i="3" s="1"/>
  <c r="H352" i="7"/>
  <c r="F148" i="3"/>
  <c r="F146" i="3" s="1"/>
  <c r="F144" i="3" s="1"/>
  <c r="J352" i="7"/>
  <c r="J350" i="7" s="1"/>
  <c r="H350" i="7" l="1"/>
  <c r="H554" i="7"/>
  <c r="J554" i="7"/>
  <c r="J552" i="7" s="1"/>
  <c r="D183" i="4"/>
  <c r="H552" i="7" l="1"/>
  <c r="D176" i="4"/>
  <c r="D174" i="4" s="1"/>
  <c r="J537" i="7"/>
  <c r="J11" i="7" s="1"/>
  <c r="H218" i="3"/>
  <c r="H213" i="3" s="1"/>
  <c r="H12" i="3" s="1"/>
  <c r="F186" i="4"/>
  <c r="F183" i="4" s="1"/>
  <c r="F176" i="4" s="1"/>
  <c r="F174" i="4" s="1"/>
  <c r="F220" i="3"/>
  <c r="S11" i="7" l="1"/>
  <c r="S7" i="7"/>
  <c r="H537" i="7"/>
  <c r="F218" i="3"/>
  <c r="F213" i="3" s="1"/>
  <c r="F13" i="4"/>
  <c r="S6" i="7" s="1"/>
  <c r="F123" i="9" l="1"/>
  <c r="F172" i="4"/>
  <c r="F170" i="4" s="1"/>
  <c r="F145" i="4" s="1"/>
  <c r="F15" i="4" s="1"/>
  <c r="J772" i="7"/>
  <c r="H310" i="3"/>
  <c r="H308" i="3" s="1"/>
  <c r="H306" i="3" s="1"/>
  <c r="F121" i="9" l="1"/>
  <c r="F72" i="9" s="1"/>
  <c r="F12" i="9" s="1"/>
  <c r="S4" i="7" s="1"/>
  <c r="D123" i="9"/>
  <c r="E13" i="15" l="1"/>
  <c r="I117" i="4" l="1"/>
  <c r="H117" i="4" s="1"/>
  <c r="G117" i="4" s="1"/>
  <c r="I29" i="4"/>
  <c r="I26" i="4"/>
  <c r="I118" i="4"/>
  <c r="H118" i="4" s="1"/>
  <c r="G118" i="4" s="1"/>
  <c r="I116" i="4"/>
  <c r="I45" i="4"/>
  <c r="I93" i="4"/>
  <c r="I19" i="4" l="1"/>
  <c r="I90" i="4"/>
  <c r="H93" i="4"/>
  <c r="I94" i="4"/>
  <c r="I100" i="4"/>
  <c r="I125" i="4"/>
  <c r="I32" i="4"/>
  <c r="I83" i="4"/>
  <c r="I132" i="4"/>
  <c r="I130" i="4" s="1"/>
  <c r="I24" i="4"/>
  <c r="H26" i="4"/>
  <c r="I114" i="4"/>
  <c r="I108" i="4" s="1"/>
  <c r="H116" i="4"/>
  <c r="I27" i="4"/>
  <c r="H29" i="4"/>
  <c r="I119" i="4"/>
  <c r="I41" i="4"/>
  <c r="H45" i="4"/>
  <c r="I75" i="4"/>
  <c r="I79" i="4"/>
  <c r="I104" i="4"/>
  <c r="I73" i="4" l="1"/>
  <c r="I17" i="4"/>
  <c r="H104" i="4"/>
  <c r="G104" i="4"/>
  <c r="H75" i="4"/>
  <c r="G75" i="4"/>
  <c r="H114" i="4"/>
  <c r="G116" i="4"/>
  <c r="G114" i="4" s="1"/>
  <c r="H108" i="4"/>
  <c r="H83" i="4"/>
  <c r="G83" i="4"/>
  <c r="H125" i="4"/>
  <c r="H119" i="4" s="1"/>
  <c r="G125" i="4"/>
  <c r="H94" i="4"/>
  <c r="G94" i="4"/>
  <c r="H19" i="4"/>
  <c r="G19" i="4"/>
  <c r="I88" i="4"/>
  <c r="H79" i="4"/>
  <c r="G79" i="4"/>
  <c r="H41" i="4"/>
  <c r="G45" i="4"/>
  <c r="G41" i="4" s="1"/>
  <c r="H27" i="4"/>
  <c r="G29" i="4"/>
  <c r="G27" i="4" s="1"/>
  <c r="H24" i="4"/>
  <c r="G26" i="4"/>
  <c r="G24" i="4" s="1"/>
  <c r="H132" i="4"/>
  <c r="H130" i="4" s="1"/>
  <c r="G132" i="4"/>
  <c r="G130" i="4" s="1"/>
  <c r="H32" i="4"/>
  <c r="G32" i="4"/>
  <c r="H100" i="4"/>
  <c r="G100" i="4"/>
  <c r="H90" i="4"/>
  <c r="G93" i="4"/>
  <c r="G90" i="4" s="1"/>
  <c r="I98" i="4"/>
  <c r="G17" i="4" l="1"/>
  <c r="H88" i="4"/>
  <c r="G73" i="4"/>
  <c r="H17" i="4"/>
  <c r="H98" i="4"/>
  <c r="G108" i="4"/>
  <c r="G119" i="4"/>
  <c r="G88" i="4"/>
  <c r="H73" i="4"/>
  <c r="G98" i="4" l="1"/>
  <c r="J123" i="9"/>
  <c r="I123" i="9"/>
  <c r="H170" i="4"/>
  <c r="I310" i="3"/>
  <c r="I308" i="3" s="1"/>
  <c r="I306" i="3" s="1"/>
  <c r="L310" i="3" l="1"/>
  <c r="L308" i="3" s="1"/>
  <c r="L306" i="3" s="1"/>
  <c r="G170" i="4"/>
  <c r="M774" i="7"/>
  <c r="K310" i="3"/>
  <c r="K308" i="3" s="1"/>
  <c r="K306" i="3" s="1"/>
  <c r="K774" i="7"/>
  <c r="J310" i="3"/>
  <c r="J308" i="3" s="1"/>
  <c r="J306" i="3" s="1"/>
  <c r="N774" i="7"/>
  <c r="H123" i="9"/>
  <c r="L774" i="7"/>
  <c r="I170" i="4"/>
  <c r="N772" i="7" l="1"/>
  <c r="L772" i="7"/>
  <c r="M772" i="7"/>
  <c r="K772" i="7"/>
  <c r="J170" i="4"/>
  <c r="E55" i="4"/>
  <c r="E46" i="4" s="1"/>
  <c r="E30" i="4" s="1"/>
  <c r="E15" i="4" s="1"/>
  <c r="E13" i="4" s="1"/>
  <c r="I445" i="7"/>
  <c r="I443" i="7" s="1"/>
  <c r="I407" i="7" s="1"/>
  <c r="I11" i="7" s="1"/>
  <c r="H449" i="7"/>
  <c r="R6" i="7" l="1"/>
  <c r="R4" i="7"/>
  <c r="R11" i="7"/>
  <c r="D13" i="15"/>
  <c r="N449" i="7"/>
  <c r="D55" i="4"/>
  <c r="H445" i="7"/>
  <c r="G183" i="3"/>
  <c r="G181" i="3" s="1"/>
  <c r="G164" i="3" s="1"/>
  <c r="G12" i="3" s="1"/>
  <c r="R7" i="7" s="1"/>
  <c r="D46" i="4" l="1"/>
  <c r="F183" i="3"/>
  <c r="F181" i="3" s="1"/>
  <c r="F164" i="3" s="1"/>
  <c r="F12" i="3" s="1"/>
  <c r="H443" i="7"/>
  <c r="K445" i="7"/>
  <c r="G55" i="4"/>
  <c r="G46" i="4" s="1"/>
  <c r="G30" i="4" s="1"/>
  <c r="G15" i="4" s="1"/>
  <c r="N445" i="7"/>
  <c r="J55" i="4"/>
  <c r="J46" i="4" s="1"/>
  <c r="J30" i="4" s="1"/>
  <c r="J15" i="4" s="1"/>
  <c r="J13" i="4" s="1"/>
  <c r="H55" i="4"/>
  <c r="H46" i="4" s="1"/>
  <c r="H30" i="4" s="1"/>
  <c r="H15" i="4" s="1"/>
  <c r="H13" i="4" s="1"/>
  <c r="L445" i="7"/>
  <c r="M445" i="7"/>
  <c r="I55" i="4"/>
  <c r="I46" i="4" s="1"/>
  <c r="I30" i="4" s="1"/>
  <c r="I15" i="4" s="1"/>
  <c r="L443" i="7" l="1"/>
  <c r="J183" i="3"/>
  <c r="J181" i="3" s="1"/>
  <c r="J164" i="3" s="1"/>
  <c r="J12" i="3" s="1"/>
  <c r="H407" i="7"/>
  <c r="K183" i="3"/>
  <c r="K181" i="3" s="1"/>
  <c r="K164" i="3" s="1"/>
  <c r="M443" i="7"/>
  <c r="L183" i="3"/>
  <c r="L181" i="3" s="1"/>
  <c r="L164" i="3" s="1"/>
  <c r="L12" i="3" s="1"/>
  <c r="N443" i="7"/>
  <c r="D30" i="4"/>
  <c r="K443" i="7"/>
  <c r="I183" i="3"/>
  <c r="I181" i="3" s="1"/>
  <c r="I164" i="3" s="1"/>
  <c r="N407" i="7" l="1"/>
  <c r="L407" i="7"/>
  <c r="M407" i="7"/>
  <c r="K407" i="7"/>
  <c r="D15" i="4"/>
  <c r="H11" i="7"/>
  <c r="Q7" i="7" l="1"/>
  <c r="Q11" i="7"/>
  <c r="Q4" i="7"/>
  <c r="N11" i="7"/>
  <c r="L11" i="7"/>
  <c r="D13" i="4"/>
  <c r="Q6" i="7" s="1"/>
  <c r="C13" i="15"/>
  <c r="W7" i="7" l="1"/>
  <c r="W6" i="7"/>
  <c r="W4" i="7"/>
  <c r="W11" i="7"/>
  <c r="U11" i="7"/>
  <c r="U7" i="7"/>
  <c r="U6" i="7"/>
  <c r="U4" i="7"/>
  <c r="I13" i="15"/>
  <c r="G13" i="15"/>
  <c r="K277" i="7"/>
  <c r="G178" i="4"/>
  <c r="G176" i="4" s="1"/>
  <c r="G174" i="4" s="1"/>
  <c r="K275" i="7" l="1"/>
  <c r="G13" i="4"/>
  <c r="I118" i="3"/>
  <c r="I116" i="3" s="1"/>
  <c r="I91" i="3" s="1"/>
  <c r="I12" i="3" s="1"/>
  <c r="K215" i="7" l="1"/>
  <c r="K11" i="7" l="1"/>
  <c r="I227" i="4"/>
  <c r="I209" i="4" s="1"/>
  <c r="M346" i="7" s="1"/>
  <c r="T4" i="7" l="1"/>
  <c r="T11" i="7"/>
  <c r="T7" i="7"/>
  <c r="T6" i="7"/>
  <c r="F13" i="15"/>
  <c r="I13" i="4"/>
  <c r="M344" i="7" l="1"/>
  <c r="K143" i="3"/>
  <c r="K141" i="3" s="1"/>
  <c r="K91" i="3" s="1"/>
  <c r="K12" i="3" s="1"/>
  <c r="M215" i="7" l="1"/>
  <c r="M11" i="7" l="1"/>
  <c r="V7" i="7" l="1"/>
  <c r="V4" i="7"/>
  <c r="V6" i="7"/>
  <c r="V11" i="7"/>
  <c r="H13" i="15"/>
</calcChain>
</file>

<file path=xl/sharedStrings.xml><?xml version="1.0" encoding="utf-8"?>
<sst xmlns="http://schemas.openxmlformats.org/spreadsheetml/2006/main" count="2607" uniqueCount="866">
  <si>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</si>
  <si>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</si>
  <si>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</si>
  <si>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</si>
  <si>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</si>
  <si>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</si>
  <si>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</si>
  <si>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</si>
  <si>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</si>
  <si>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</si>
  <si>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</si>
  <si>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</si>
  <si>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</si>
  <si>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</si>
  <si>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</si>
  <si>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</si>
  <si>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</si>
  <si>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</si>
  <si>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</si>
  <si>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</si>
  <si>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</si>
  <si>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</si>
  <si>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</si>
  <si>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</si>
  <si>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</si>
  <si>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</si>
  <si>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</si>
  <si>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</si>
  <si>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</si>
  <si>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</si>
  <si>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</si>
  <si>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</si>
  <si>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</si>
  <si>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</si>
  <si>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</si>
  <si>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</si>
  <si>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</si>
  <si>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</si>
  <si>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</si>
  <si>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</si>
  <si>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</si>
  <si>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</si>
  <si>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</si>
  <si>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</si>
  <si>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</si>
  <si>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</si>
  <si>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</si>
  <si>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</si>
  <si>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</si>
  <si>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</si>
  <si>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</si>
  <si>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</si>
  <si>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</si>
  <si>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</si>
  <si>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</si>
  <si>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</si>
  <si>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</si>
  <si>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</si>
  <si>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</si>
  <si>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</si>
  <si>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</si>
  <si>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</si>
  <si>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</si>
  <si>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</si>
  <si>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</si>
  <si>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</si>
  <si>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</si>
  <si>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</si>
  <si>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</si>
  <si>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</si>
  <si>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</si>
  <si>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</si>
  <si>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</si>
  <si>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</si>
  <si>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</si>
  <si>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</si>
  <si>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</si>
  <si>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</si>
  <si>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</si>
  <si>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</si>
  <si>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</si>
  <si>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</si>
  <si>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</si>
  <si>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</si>
  <si>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</si>
  <si>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</si>
  <si>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</si>
  <si>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</si>
  <si>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</si>
  <si>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</si>
  <si>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</si>
  <si>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</si>
  <si>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</si>
  <si>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</si>
  <si>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</si>
  <si>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</si>
  <si>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</si>
  <si>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</si>
  <si>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</si>
  <si>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</si>
  <si>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</si>
  <si>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</si>
  <si>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</si>
  <si>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</si>
  <si>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</si>
  <si>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</si>
  <si>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</si>
  <si>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</si>
  <si>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</si>
  <si>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</si>
  <si>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</si>
  <si>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</si>
  <si>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</si>
  <si>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</si>
  <si>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</si>
  <si>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</si>
  <si>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</si>
  <si>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</si>
  <si>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</si>
  <si>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</si>
  <si>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</si>
  <si>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</si>
  <si>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</si>
  <si>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</si>
  <si>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</si>
  <si>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</si>
  <si>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</si>
  <si>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</si>
  <si>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</si>
  <si>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</si>
  <si>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</si>
  <si>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</si>
  <si>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</si>
  <si>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</si>
  <si>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</si>
  <si>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</si>
  <si>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</si>
  <si>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</si>
  <si>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</si>
  <si>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</si>
  <si>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</si>
  <si>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</si>
  <si>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</si>
  <si>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</si>
  <si>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</si>
  <si>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</si>
  <si>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</si>
  <si>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</si>
  <si>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</si>
  <si>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</si>
  <si>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</si>
  <si>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</si>
  <si>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</si>
  <si>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</si>
  <si>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</si>
  <si>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</si>
  <si>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</si>
  <si>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</si>
  <si>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</si>
  <si>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</si>
  <si>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</si>
  <si>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</si>
  <si>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</si>
  <si>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</si>
  <si>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</si>
  <si>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</si>
  <si>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</si>
  <si>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</si>
  <si>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</si>
  <si>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</si>
  <si>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</si>
  <si>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</si>
  <si>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</si>
  <si>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</si>
  <si>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</si>
  <si>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</si>
  <si>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</si>
  <si>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</si>
  <si>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</si>
  <si>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</si>
  <si>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</si>
  <si>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</si>
  <si>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</si>
  <si>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</si>
  <si>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</si>
  <si>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</si>
  <si>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</si>
  <si>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</si>
  <si>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</si>
  <si>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</si>
  <si>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</si>
  <si>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</si>
  <si>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</si>
  <si>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</si>
  <si>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</si>
  <si>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</si>
  <si>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</si>
  <si>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</si>
  <si>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</si>
  <si>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</si>
  <si>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</si>
  <si>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</si>
  <si>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</si>
  <si>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</si>
  <si>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</si>
  <si>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</si>
  <si>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</si>
  <si>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</si>
  <si>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</si>
  <si>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</si>
  <si>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</si>
  <si>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</si>
  <si>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</si>
  <si>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</si>
  <si>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</si>
  <si>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</si>
  <si>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</si>
  <si>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</si>
  <si>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</si>
  <si>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</si>
  <si>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</si>
  <si>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</si>
  <si>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</si>
  <si>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</si>
  <si>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</si>
  <si>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</si>
  <si>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</si>
  <si>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</si>
  <si>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</si>
  <si>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</si>
  <si>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</si>
  <si>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</si>
  <si>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</si>
  <si>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</si>
  <si>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</si>
  <si>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</si>
  <si>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</si>
  <si>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</si>
  <si>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</si>
  <si>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</si>
  <si>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</si>
  <si>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</si>
  <si>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</si>
  <si>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</si>
  <si>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</si>
  <si>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</si>
  <si>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</si>
  <si>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</si>
  <si>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</si>
  <si>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</si>
  <si>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</si>
  <si>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</si>
  <si>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</si>
  <si>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</si>
  <si>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</si>
  <si>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</si>
  <si>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</si>
  <si>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</si>
  <si>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</si>
  <si>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</si>
  <si>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</si>
  <si>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</si>
  <si>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</si>
  <si>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</si>
  <si>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</si>
  <si>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</si>
  <si>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</si>
  <si>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</si>
  <si>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</si>
  <si>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</si>
  <si>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</si>
  <si>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</si>
  <si>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</si>
  <si>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</si>
  <si>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</si>
  <si>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</si>
  <si>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</si>
  <si>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</si>
  <si>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</si>
  <si>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</si>
  <si>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</si>
  <si>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</si>
  <si>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</si>
  <si>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</si>
  <si>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</si>
  <si>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</si>
  <si>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</si>
  <si>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</si>
  <si>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</si>
  <si>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</si>
  <si>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</si>
  <si>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</si>
  <si>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</si>
  <si>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</si>
  <si>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</si>
  <si>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</si>
  <si>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</si>
  <si>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</si>
  <si>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</si>
  <si>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</si>
  <si>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</si>
  <si>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</si>
  <si>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</si>
  <si>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</si>
  <si>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</si>
  <si>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</si>
  <si>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</si>
  <si>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</si>
  <si>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</si>
  <si>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</si>
  <si>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</si>
  <si>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</si>
  <si>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</si>
  <si>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</si>
  <si>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</si>
  <si>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</si>
  <si>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</si>
  <si>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</si>
  <si>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</si>
  <si>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</si>
  <si>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</si>
  <si>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</si>
  <si>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</si>
  <si>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</si>
  <si>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</si>
  <si>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</si>
  <si>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</si>
  <si>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</si>
  <si>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</si>
  <si>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</si>
  <si>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</si>
  <si>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</si>
  <si>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</si>
  <si>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</si>
  <si>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</si>
  <si>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</si>
  <si>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</si>
  <si>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</si>
  <si>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</si>
  <si>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</si>
  <si>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</si>
  <si>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</si>
  <si>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</si>
  <si>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</si>
  <si>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</si>
  <si>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</si>
  <si>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</si>
  <si>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</si>
  <si>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</si>
  <si>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</si>
  <si>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</si>
  <si>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</si>
  <si>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</si>
  <si>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</si>
  <si>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</si>
  <si>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</si>
  <si>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</si>
  <si>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</si>
  <si>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</si>
  <si>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</si>
  <si>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</si>
  <si>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</si>
  <si>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</si>
  <si>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</si>
  <si>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</si>
  <si>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</si>
  <si>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</si>
  <si>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</si>
  <si>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</si>
  <si>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</si>
  <si>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</si>
  <si>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</si>
  <si>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</si>
  <si>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</si>
  <si>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</si>
  <si>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</si>
  <si>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</si>
  <si>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</si>
  <si>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</si>
  <si>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</si>
  <si>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</si>
  <si>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</si>
  <si>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</si>
  <si>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</si>
  <si>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</si>
  <si>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</si>
  <si>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</si>
  <si>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</si>
  <si>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</si>
  <si>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</si>
  <si>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</si>
  <si>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</si>
  <si>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</si>
  <si>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</si>
  <si>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</si>
  <si>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</si>
  <si>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</si>
  <si>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</si>
  <si>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</si>
  <si>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</si>
  <si>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</si>
  <si>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</si>
  <si>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</si>
  <si>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</si>
  <si>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</si>
  <si>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</si>
  <si>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</si>
  <si>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</si>
  <si>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</si>
  <si>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</si>
  <si>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</si>
  <si>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</si>
  <si>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</si>
  <si>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</si>
  <si>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</si>
  <si>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</si>
  <si>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</si>
  <si>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</si>
  <si>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</si>
  <si>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</si>
  <si>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</si>
  <si>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</si>
  <si>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</si>
  <si>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</si>
  <si>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</si>
  <si>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</si>
  <si>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</si>
  <si>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</si>
  <si>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</si>
  <si>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</si>
  <si>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</si>
  <si>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</si>
  <si>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</si>
  <si>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</si>
  <si>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</si>
  <si>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</si>
  <si>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</si>
  <si>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</si>
  <si>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</si>
  <si>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</si>
  <si>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</si>
  <si>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</si>
  <si>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</si>
  <si>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</si>
  <si>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</si>
  <si>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</si>
  <si>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</si>
  <si>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</si>
  <si>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</si>
  <si>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</si>
  <si>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</si>
  <si>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</si>
  <si>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</si>
  <si>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</si>
  <si>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</si>
  <si>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</si>
  <si>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</si>
  <si>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</si>
  <si>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</si>
  <si>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</si>
  <si>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</si>
  <si>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</si>
  <si>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</si>
  <si>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</si>
  <si>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</si>
  <si>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</si>
  <si>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</si>
  <si>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</si>
  <si>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</si>
  <si>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</si>
  <si>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</si>
  <si>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</si>
  <si>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</si>
  <si>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</si>
  <si>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</si>
  <si>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</si>
  <si>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</si>
  <si>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</si>
  <si>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</si>
  <si>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</si>
  <si>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</si>
  <si>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</si>
  <si>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</si>
  <si>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</si>
  <si>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</si>
  <si>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</si>
  <si>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</si>
  <si>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</si>
  <si>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</si>
  <si>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</si>
  <si>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</si>
  <si>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</si>
  <si>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</si>
  <si>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</si>
  <si>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</si>
  <si>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</si>
  <si>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</si>
  <si>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</si>
  <si>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</si>
  <si>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</si>
  <si>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</si>
  <si>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</si>
  <si>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</si>
  <si>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</si>
  <si>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</si>
  <si>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</si>
  <si>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</si>
  <si>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</si>
  <si>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</si>
  <si>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</si>
  <si>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</si>
  <si>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</si>
  <si>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</si>
  <si>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</si>
  <si>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</si>
  <si>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</si>
  <si>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</si>
  <si>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</si>
  <si>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</si>
  <si>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</si>
  <si>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</si>
  <si>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</si>
  <si>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</si>
  <si>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</si>
  <si>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</si>
  <si>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</si>
  <si>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</si>
  <si>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</si>
  <si>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</si>
  <si>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</si>
  <si>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</si>
  <si>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</si>
  <si>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</si>
  <si>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</si>
  <si>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</si>
  <si>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</si>
  <si>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</si>
  <si>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</si>
  <si>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</si>
  <si>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</si>
  <si>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</si>
  <si>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</si>
  <si>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</si>
  <si>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</si>
  <si>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</si>
  <si>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</si>
  <si>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</si>
  <si>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</si>
  <si>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</si>
  <si>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</si>
  <si>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</si>
  <si>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</si>
  <si>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</si>
  <si>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</si>
  <si>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</si>
  <si>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</si>
  <si>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</si>
  <si>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</si>
  <si>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</si>
  <si>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</si>
  <si>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</si>
  <si>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</si>
  <si>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</si>
  <si>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</si>
  <si>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</si>
  <si>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</si>
  <si>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</si>
  <si>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</si>
  <si>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</si>
  <si>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</si>
  <si>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</si>
  <si>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</si>
  <si>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</si>
  <si>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</si>
  <si>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Տրանսպորտային նյութեր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</si>
  <si>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</si>
  <si>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</si>
  <si>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</si>
  <si>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</si>
  <si>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</si>
  <si>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</si>
  <si>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</si>
  <si>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</si>
  <si>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</si>
  <si>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</si>
  <si>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</si>
  <si>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</si>
  <si>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</si>
  <si>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</si>
  <si>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</si>
  <si>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</si>
  <si>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</si>
  <si>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</si>
  <si>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</si>
  <si>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</si>
  <si>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</si>
  <si>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</si>
  <si>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</si>
  <si>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</si>
  <si>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</si>
  <si>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</si>
  <si>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</si>
  <si>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</si>
  <si>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</si>
  <si>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</si>
  <si>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</si>
  <si>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</si>
  <si>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</si>
  <si>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</si>
  <si>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</si>
  <si>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</si>
  <si>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</si>
  <si>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</si>
  <si>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</si>
  <si>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</si>
  <si>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</si>
  <si>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</si>
  <si>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</si>
  <si>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</si>
  <si>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</si>
  <si>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</si>
  <si>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</si>
  <si>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</si>
  <si>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</si>
  <si>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</si>
  <si>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</si>
  <si>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</si>
  <si>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</si>
  <si>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</si>
  <si>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</si>
  <si>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</si>
  <si>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</si>
  <si>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</si>
  <si>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</si>
  <si>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</si>
  <si>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</si>
  <si>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</si>
  <si>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</si>
  <si>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</si>
  <si>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</si>
  <si>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</si>
  <si>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</si>
  <si>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</si>
  <si>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</si>
  <si>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</si>
  <si>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</si>
  <si>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</si>
  <si>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</si>
  <si>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</si>
  <si>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</si>
  <si>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</si>
  <si>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</si>
  <si>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</si>
  <si>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</si>
  <si>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</si>
  <si>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</si>
  <si>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</si>
  <si>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</si>
  <si>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</si>
  <si>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</si>
  <si>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</si>
  <si>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</si>
  <si>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</si>
  <si>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</si>
  <si>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</si>
  <si>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</si>
  <si>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</si>
  <si>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</si>
  <si>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</si>
  <si>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</si>
  <si>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</si>
  <si>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</si>
  <si>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</si>
  <si>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</si>
  <si>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</si>
  <si>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</si>
  <si>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</si>
  <si>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</si>
  <si>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</si>
  <si>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</si>
  <si>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</si>
  <si>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</si>
  <si>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</si>
  <si>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</si>
  <si>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</si>
  <si>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</si>
  <si>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</si>
  <si>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</si>
  <si>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</si>
  <si>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</si>
  <si>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</si>
  <si>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</si>
  <si>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</si>
  <si>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</si>
  <si>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</si>
  <si>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</si>
  <si>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</si>
  <si>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</si>
  <si>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</si>
  <si>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</si>
  <si>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</si>
  <si>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</si>
  <si>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</si>
  <si>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</si>
  <si>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</si>
  <si>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</si>
  <si>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</si>
  <si>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</si>
  <si>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</si>
  <si>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</si>
  <si>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</si>
  <si>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</si>
  <si>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</si>
  <si>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</si>
  <si>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</si>
  <si>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</si>
  <si>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</si>
  <si>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</si>
  <si>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</si>
  <si>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</si>
  <si>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</si>
  <si>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</si>
  <si>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</si>
  <si>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</si>
  <si>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</si>
  <si>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</si>
  <si>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</si>
  <si>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</si>
  <si>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</si>
  <si>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</si>
  <si>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</si>
  <si>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</si>
  <si>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</si>
  <si>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</si>
  <si>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</si>
  <si>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</si>
  <si>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</si>
  <si>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</si>
  <si>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</si>
  <si>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</si>
  <si>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</si>
  <si>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</si>
  <si>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</si>
  <si>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</si>
  <si>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</si>
  <si>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</si>
  <si>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</si>
  <si>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</si>
  <si>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</si>
  <si>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</si>
  <si>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</si>
  <si>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</si>
  <si>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</si>
  <si>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</si>
  <si>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</si>
  <si>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</si>
  <si>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</si>
  <si>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</si>
  <si>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</si>
  <si>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</si>
  <si>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</si>
  <si>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</si>
  <si>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</si>
  <si>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</si>
  <si>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</si>
  <si>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</si>
  <si>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</si>
  <si>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</si>
  <si>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</si>
  <si>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</si>
  <si>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</si>
  <si>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</si>
  <si>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</si>
  <si>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</si>
  <si>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</si>
  <si>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</si>
  <si>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</si>
  <si>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</si>
  <si>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</si>
  <si>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</si>
  <si>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</si>
  <si>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</si>
  <si>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</si>
  <si>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</si>
  <si>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</si>
  <si>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</si>
  <si>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</si>
  <si>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</si>
  <si>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</si>
  <si>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</si>
  <si>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</si>
  <si>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</si>
  <si>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</si>
  <si>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</si>
  <si>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</si>
  <si>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</si>
  <si>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</si>
  <si>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</si>
  <si>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</si>
  <si>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</si>
  <si>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</si>
  <si>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</si>
  <si>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</si>
  <si>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</si>
  <si>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</si>
  <si>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</si>
  <si>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</si>
  <si>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</si>
  <si>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</si>
  <si>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</si>
  <si>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</si>
  <si>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</si>
  <si>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</si>
  <si>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</si>
  <si>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</si>
  <si>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</si>
  <si>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</si>
  <si>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</si>
  <si>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</si>
  <si>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</si>
  <si>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</si>
  <si>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</si>
  <si>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</si>
  <si>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</si>
  <si>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</si>
  <si>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</si>
  <si>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</si>
  <si>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</si>
  <si>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</si>
  <si>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</si>
  <si>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</si>
  <si>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</si>
  <si>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</si>
  <si>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</si>
  <si>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</si>
  <si>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</si>
  <si>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</si>
  <si>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</si>
  <si>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</si>
  <si>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</si>
  <si>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</si>
  <si>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</si>
  <si>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</si>
  <si>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</si>
  <si>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</si>
  <si>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</si>
  <si>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</si>
  <si>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</si>
  <si>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</si>
  <si>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</si>
  <si>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</si>
  <si>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</si>
  <si>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</si>
  <si>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</si>
  <si>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</si>
  <si>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</si>
  <si>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 Ընթացիկ դրամաշնորհներ պետական և համայնքների ոչ առևտրային կազմակերպություններին</t>
  </si>
  <si>
    <t>Այլ մեքենաներ և սարքավորումներ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</si>
  <si>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</si>
  <si>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</si>
  <si>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</si>
  <si>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</si>
  <si>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Այլ կապիտալ դրամաշնորհներ</t>
  </si>
  <si>
    <t xml:space="preserve">Գյումրի համայնքի ավագանու 2025թ.հունիսի 20-ի </t>
  </si>
  <si>
    <t>Հավելված՝</t>
  </si>
  <si>
    <t xml:space="preserve">  N  31-Ն 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</si>
</sst>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</numFmts>
  <fonts count="34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4" fillId="0" borderId="28" applyNumberFormat="0" applyFont="0" applyFill="0" applyAlignment="0" applyProtection="0"/>
    <xf numFmtId="0" fontId="25" fillId="0" borderId="29" applyNumberFormat="0" applyFill="0" applyProtection="0">
      <alignment horizontal="center" vertical="center"/>
    </xf>
    <xf numFmtId="0" fontId="26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29" applyNumberFormat="0" applyFill="0" applyProtection="0">
      <alignment horizontal="left" vertical="center"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" fontId="27" fillId="0" borderId="30" applyFill="0" applyProtection="0">
      <alignment horizontal="right" vertical="center"/>
    </xf>
    <xf numFmtId="0" fontId="15" fillId="0" borderId="0"/>
  </cellStyleXfs>
  <cellXfs count="287">
    <xf numFmtId="0" fontId="0" fillId="0" borderId="0" xfId="0"/>
    <xf numFmtId="0" fontId="29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7" xfId="0" applyFont="1" applyBorder="1" applyAlignment="1">
      <alignment horizontal="center" vertical="center"/>
    </xf>
    <xf numFmtId="0" fontId="10" fillId="0" borderId="0" xfId="0" applyFon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4" xfId="11" applyFont="1" applyBorder="1" applyAlignment="1">
      <alignment horizontal="center" vertical="center" wrapText="1"/>
    </xf>
    <xf numFmtId="0" fontId="1" fillId="0" borderId="15" xfId="1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0" borderId="11" xfId="11" applyFont="1" applyBorder="1" applyAlignment="1">
      <alignment horizontal="center" vertical="center" wrapText="1"/>
    </xf>
    <xf numFmtId="164" fontId="2" fillId="0" borderId="16" xfId="11" applyNumberFormat="1" applyFont="1" applyBorder="1" applyAlignment="1">
      <alignment horizontal="center" vertical="center" wrapText="1"/>
    </xf>
    <xf numFmtId="164" fontId="2" fillId="0" borderId="4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64" fontId="1" fillId="0" borderId="1" xfId="11" applyNumberFormat="1" applyFont="1" applyBorder="1" applyAlignment="1">
      <alignment horizontal="center" vertical="center"/>
    </xf>
    <xf numFmtId="1" fontId="1" fillId="0" borderId="1" xfId="11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1" fontId="2" fillId="0" borderId="1" xfId="11" applyNumberFormat="1" applyFont="1" applyBorder="1" applyAlignment="1">
      <alignment horizontal="center" vertical="center" wrapText="1"/>
    </xf>
    <xf numFmtId="164" fontId="2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left" vertical="center" wrapText="1"/>
    </xf>
    <xf numFmtId="0" fontId="1" fillId="0" borderId="0" xfId="11" applyFont="1" applyAlignment="1">
      <alignment vertical="center" wrapText="1"/>
    </xf>
    <xf numFmtId="0" fontId="2" fillId="0" borderId="17" xfId="11" applyFont="1" applyBorder="1" applyAlignment="1">
      <alignment horizontal="center" wrapText="1"/>
    </xf>
    <xf numFmtId="0" fontId="1" fillId="0" borderId="0" xfId="11" applyFont="1" applyAlignment="1">
      <alignment horizontal="center" vertical="center" wrapText="1"/>
    </xf>
    <xf numFmtId="49" fontId="8" fillId="0" borderId="1" xfId="11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0" fillId="0" borderId="0" xfId="0" applyFont="1"/>
    <xf numFmtId="0" fontId="29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4" xfId="0" applyFont="1" applyFill="1" applyBorder="1" applyAlignment="1" applyProtection="1">
      <alignment horizontal="center"/>
      <protection hidden="1"/>
    </xf>
    <xf numFmtId="0" fontId="21" fillId="0" borderId="16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8" xfId="0" applyFont="1" applyBorder="1" applyAlignment="1" applyProtection="1">
      <alignment horizontal="center"/>
      <protection hidden="1"/>
    </xf>
    <xf numFmtId="0" fontId="30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9" fillId="0" borderId="0" xfId="11" applyFont="1" applyAlignment="1">
      <alignment horizontal="center" vertical="center" wrapText="1"/>
    </xf>
    <xf numFmtId="49" fontId="1" fillId="0" borderId="11" xfId="11" applyNumberFormat="1" applyFont="1" applyBorder="1" applyAlignment="1">
      <alignment horizontal="center" vertical="center" wrapText="1"/>
    </xf>
    <xf numFmtId="0" fontId="2" fillId="0" borderId="1" xfId="11" quotePrefix="1" applyFont="1" applyBorder="1" applyAlignment="1">
      <alignment horizontal="center" vertical="center" wrapText="1"/>
    </xf>
    <xf numFmtId="0" fontId="2" fillId="0" borderId="1" xfId="11" applyFont="1" applyBorder="1" applyAlignment="1">
      <alignment horizontal="center" vertical="center" wrapText="1"/>
    </xf>
    <xf numFmtId="49" fontId="1" fillId="0" borderId="1" xfId="11" quotePrefix="1" applyNumberFormat="1" applyFont="1" applyBorder="1" applyAlignment="1">
      <alignment horizontal="center" vertical="center" wrapText="1"/>
    </xf>
    <xf numFmtId="164" fontId="1" fillId="0" borderId="1" xfId="11" applyNumberFormat="1" applyFont="1" applyBorder="1" applyAlignment="1">
      <alignment horizontal="center" vertical="center" wrapText="1"/>
    </xf>
    <xf numFmtId="0" fontId="1" fillId="0" borderId="1" xfId="11" quotePrefix="1" applyFont="1" applyBorder="1" applyAlignment="1">
      <alignment horizontal="center" vertical="center" wrapText="1"/>
    </xf>
    <xf numFmtId="49" fontId="1" fillId="0" borderId="1" xfId="11" applyNumberFormat="1" applyFont="1" applyBorder="1" applyAlignment="1">
      <alignment horizontal="center" vertical="center" wrapText="1"/>
    </xf>
    <xf numFmtId="0" fontId="1" fillId="0" borderId="1" xfId="11" applyFont="1" applyBorder="1" applyAlignment="1">
      <alignment horizontal="centerContinuous" vertical="center" wrapText="1"/>
    </xf>
    <xf numFmtId="49" fontId="1" fillId="0" borderId="1" xfId="11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0" fontId="25" fillId="0" borderId="29" xfId="2" applyFill="1">
      <alignment horizontal="center" vertical="center"/>
    </xf>
    <xf numFmtId="164" fontId="1" fillId="0" borderId="0" xfId="11" applyNumberFormat="1" applyFont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11" applyFont="1" applyAlignment="1">
      <alignment wrapText="1"/>
    </xf>
    <xf numFmtId="0" fontId="1" fillId="0" borderId="0" xfId="1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1" applyFont="1" applyAlignment="1">
      <alignment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7" fontId="5" fillId="0" borderId="8" xfId="0" applyNumberFormat="1" applyFont="1" applyBorder="1" applyAlignment="1" applyProtection="1">
      <alignment vertical="center"/>
      <protection hidden="1"/>
    </xf>
    <xf numFmtId="167" fontId="5" fillId="0" borderId="2" xfId="0" applyNumberFormat="1" applyFont="1" applyBorder="1" applyAlignment="1" applyProtection="1">
      <alignment vertical="center"/>
      <protection hidden="1"/>
    </xf>
    <xf numFmtId="164" fontId="1" fillId="0" borderId="0" xfId="11" applyNumberFormat="1" applyFont="1" applyAlignment="1">
      <alignment vertical="center" wrapText="1"/>
    </xf>
    <xf numFmtId="0" fontId="7" fillId="0" borderId="0" xfId="0" applyFont="1" applyAlignment="1" applyProtection="1">
      <alignment vertical="top"/>
      <protection hidden="1"/>
    </xf>
    <xf numFmtId="164" fontId="1" fillId="0" borderId="0" xfId="0" applyNumberFormat="1" applyFont="1" applyAlignment="1">
      <alignment vertical="center" wrapText="1"/>
    </xf>
    <xf numFmtId="0" fontId="9" fillId="0" borderId="13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4" fontId="1" fillId="0" borderId="0" xfId="11" applyNumberFormat="1" applyFont="1" applyAlignment="1">
      <alignment horizontal="center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164" fontId="1" fillId="0" borderId="1" xfId="4" applyNumberFormat="1" applyFont="1" applyFill="1" applyBorder="1" applyAlignment="1">
      <alignment horizontal="center" vertical="center" wrapText="1"/>
    </xf>
    <xf numFmtId="0" fontId="1" fillId="0" borderId="22" xfId="11" applyFont="1" applyBorder="1" applyAlignment="1">
      <alignment horizontal="center" vertical="center" wrapText="1"/>
    </xf>
    <xf numFmtId="0" fontId="1" fillId="0" borderId="12" xfId="11" applyFont="1" applyBorder="1" applyAlignment="1">
      <alignment horizontal="center" vertical="center" wrapText="1"/>
    </xf>
    <xf numFmtId="0" fontId="1" fillId="0" borderId="13" xfId="11" applyFont="1" applyBorder="1" applyAlignment="1">
      <alignment horizontal="center" vertical="center" wrapText="1"/>
    </xf>
    <xf numFmtId="0" fontId="14" fillId="0" borderId="0" xfId="11" applyFont="1" applyAlignment="1">
      <alignment horizontal="center" vertical="center" wrapText="1"/>
    </xf>
    <xf numFmtId="0" fontId="2" fillId="0" borderId="8" xfId="11" applyFont="1" applyBorder="1" applyAlignment="1">
      <alignment horizontal="center" wrapText="1"/>
    </xf>
    <xf numFmtId="0" fontId="2" fillId="0" borderId="23" xfId="11" applyFont="1" applyBorder="1" applyAlignment="1">
      <alignment horizontal="center" wrapText="1"/>
    </xf>
    <xf numFmtId="0" fontId="2" fillId="0" borderId="2" xfId="11" applyFont="1" applyBorder="1" applyAlignment="1">
      <alignment horizontal="center" wrapText="1"/>
    </xf>
    <xf numFmtId="0" fontId="1" fillId="0" borderId="24" xfId="11" applyFont="1" applyBorder="1" applyAlignment="1">
      <alignment horizontal="center" vertical="center" wrapText="1"/>
    </xf>
    <xf numFmtId="0" fontId="1" fillId="0" borderId="25" xfId="11" applyFont="1" applyBorder="1" applyAlignment="1">
      <alignment horizontal="center" vertical="center" wrapText="1"/>
    </xf>
    <xf numFmtId="0" fontId="1" fillId="0" borderId="8" xfId="11" applyFont="1" applyBorder="1" applyAlignment="1">
      <alignment horizontal="center" vertical="center" wrapText="1"/>
    </xf>
    <xf numFmtId="0" fontId="1" fillId="0" borderId="23" xfId="11" applyFont="1" applyBorder="1" applyAlignment="1">
      <alignment horizontal="center" vertical="center" wrapText="1"/>
    </xf>
    <xf numFmtId="0" fontId="1" fillId="0" borderId="2" xfId="1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9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left" vertical="center" wrapText="1" readingOrder="1"/>
      <protection hidden="1"/>
    </xf>
    <xf numFmtId="0" fontId="1" fillId="0" borderId="11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4" xfId="0" applyNumberFormat="1" applyFont="1" applyBorder="1" applyAlignment="1" applyProtection="1">
      <alignment horizontal="center" vertical="center" wrapText="1"/>
      <protection hidden="1"/>
    </xf>
    <xf numFmtId="167" fontId="5" fillId="0" borderId="11" xfId="0" applyNumberFormat="1" applyFont="1" applyBorder="1" applyAlignment="1" applyProtection="1">
      <alignment horizontal="center" vertical="center"/>
      <protection hidden="1"/>
    </xf>
  </cellXfs>
  <cellStyles count="50">
    <cellStyle name="bckgrnd_900" xfId="1" xr:uid="{00000000-0005-0000-0000-000000000000}"/>
    <cellStyle name="cntr_arm10_Bord_900" xfId="2" xr:uid="{00000000-0005-0000-0000-000001000000}"/>
    <cellStyle name="cntrBtm_arm10bld_900" xfId="3" xr:uid="{00000000-0005-0000-0000-000002000000}"/>
    <cellStyle name="Currency [0] 2" xfId="4" xr:uid="{00000000-0005-0000-0000-000003000000}"/>
    <cellStyle name="left_arm10_BordWW_900" xfId="5" xr:uid="{00000000-0005-0000-0000-000004000000}"/>
    <cellStyle name="Normal" xfId="0" builtinId="0"/>
    <cellStyle name="Normal 13" xfId="6" xr:uid="{00000000-0005-0000-0000-000005000000}"/>
    <cellStyle name="Normal 13 2" xfId="7" xr:uid="{00000000-0005-0000-0000-000006000000}"/>
    <cellStyle name="Normal 16" xfId="8" xr:uid="{00000000-0005-0000-0000-000007000000}"/>
    <cellStyle name="Normal 16 2" xfId="9" xr:uid="{00000000-0005-0000-0000-000008000000}"/>
    <cellStyle name="Normal 17" xfId="10" xr:uid="{00000000-0005-0000-0000-000009000000}"/>
    <cellStyle name="Normal 2" xfId="11" xr:uid="{00000000-0005-0000-0000-00000A000000}"/>
    <cellStyle name="Normal 2 10" xfId="12" xr:uid="{00000000-0005-0000-0000-00000B000000}"/>
    <cellStyle name="Normal 2 11" xfId="13" xr:uid="{00000000-0005-0000-0000-00000C000000}"/>
    <cellStyle name="Normal 2 12" xfId="14" xr:uid="{00000000-0005-0000-0000-00000D000000}"/>
    <cellStyle name="Normal 2 13" xfId="15" xr:uid="{00000000-0005-0000-0000-00000E000000}"/>
    <cellStyle name="Normal 2 14" xfId="16" xr:uid="{00000000-0005-0000-0000-00000F000000}"/>
    <cellStyle name="Normal 2 15" xfId="17" xr:uid="{00000000-0005-0000-0000-000010000000}"/>
    <cellStyle name="Normal 2 16" xfId="18" xr:uid="{00000000-0005-0000-0000-000011000000}"/>
    <cellStyle name="Normal 2 17" xfId="19" xr:uid="{00000000-0005-0000-0000-000012000000}"/>
    <cellStyle name="Normal 2 17 2" xfId="20" xr:uid="{00000000-0005-0000-0000-000013000000}"/>
    <cellStyle name="Normal 2 17 2 2" xfId="21" xr:uid="{00000000-0005-0000-0000-000014000000}"/>
    <cellStyle name="Normal 2 18" xfId="22" xr:uid="{00000000-0005-0000-0000-000015000000}"/>
    <cellStyle name="Normal 2 19" xfId="23" xr:uid="{00000000-0005-0000-0000-000016000000}"/>
    <cellStyle name="Normal 2 2" xfId="24" xr:uid="{00000000-0005-0000-0000-000017000000}"/>
    <cellStyle name="Normal 2 2 2" xfId="25" xr:uid="{00000000-0005-0000-0000-000018000000}"/>
    <cellStyle name="Normal 2 2 2 2" xfId="26" xr:uid="{00000000-0005-0000-0000-000019000000}"/>
    <cellStyle name="Normal 2 2 2 2 2" xfId="27" xr:uid="{00000000-0005-0000-0000-00001A000000}"/>
    <cellStyle name="Normal 2 2 3" xfId="28" xr:uid="{00000000-0005-0000-0000-00001B000000}"/>
    <cellStyle name="Normal 2 2 4" xfId="29" xr:uid="{00000000-0005-0000-0000-00001C000000}"/>
    <cellStyle name="Normal 2 2 5" xfId="30" xr:uid="{00000000-0005-0000-0000-00001D000000}"/>
    <cellStyle name="Normal 2 3" xfId="31" xr:uid="{00000000-0005-0000-0000-00001E000000}"/>
    <cellStyle name="Normal 2 4" xfId="32" xr:uid="{00000000-0005-0000-0000-00001F000000}"/>
    <cellStyle name="Normal 2 5" xfId="33" xr:uid="{00000000-0005-0000-0000-000020000000}"/>
    <cellStyle name="Normal 2 6" xfId="34" xr:uid="{00000000-0005-0000-0000-000021000000}"/>
    <cellStyle name="Normal 2 7" xfId="35" xr:uid="{00000000-0005-0000-0000-000022000000}"/>
    <cellStyle name="Normal 2 8" xfId="36" xr:uid="{00000000-0005-0000-0000-000023000000}"/>
    <cellStyle name="Normal 2 9" xfId="37" xr:uid="{00000000-0005-0000-0000-000024000000}"/>
    <cellStyle name="Normal 3 2" xfId="38" xr:uid="{00000000-0005-0000-0000-000025000000}"/>
    <cellStyle name="Normal 3 3" xfId="39" xr:uid="{00000000-0005-0000-0000-000026000000}"/>
    <cellStyle name="Normal 3 4" xfId="40" xr:uid="{00000000-0005-0000-0000-000027000000}"/>
    <cellStyle name="Normal 3 5" xfId="41" xr:uid="{00000000-0005-0000-0000-000028000000}"/>
    <cellStyle name="Normal 4" xfId="42" xr:uid="{00000000-0005-0000-0000-000029000000}"/>
    <cellStyle name="Normal 4 2" xfId="43" xr:uid="{00000000-0005-0000-0000-00002A000000}"/>
    <cellStyle name="Normal 7" xfId="44" xr:uid="{00000000-0005-0000-0000-00002B000000}"/>
    <cellStyle name="Normal 7 2" xfId="45" xr:uid="{00000000-0005-0000-0000-00002C000000}"/>
    <cellStyle name="Normal 9" xfId="46" xr:uid="{00000000-0005-0000-0000-00002D000000}"/>
    <cellStyle name="Normal 9 2" xfId="47" xr:uid="{00000000-0005-0000-0000-00002E000000}"/>
    <cellStyle name="rgt_arm10_BordGrey_900" xfId="48" xr:uid="{00000000-0005-0000-0000-00002F000000}"/>
    <cellStyle name="Обычный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118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1"/>
  <sheetViews>
    <sheetView view="pageBreakPreview" zoomScale="90" zoomScaleNormal="100" zoomScaleSheetLayoutView="90" workbookViewId="0">
      <selection activeCell="G4" sqref="G4:J4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1" width="9.28515625" style="90" bestFit="1" customWidth="1"/>
    <col min="12" max="16384" width="9.140625" style="90"/>
  </cols>
  <sheetData>
    <row r="1" spans="1:11" x14ac:dyDescent="0.25">
      <c r="C1" s="154"/>
      <c r="J1" s="92" t="s">
        <v>864</v>
      </c>
    </row>
    <row r="2" spans="1:11" x14ac:dyDescent="0.25">
      <c r="G2" s="239" t="s">
        <v>601</v>
      </c>
      <c r="H2" s="239"/>
      <c r="I2" s="239"/>
      <c r="J2" s="239"/>
    </row>
    <row r="3" spans="1:11" x14ac:dyDescent="0.25">
      <c r="G3" s="239" t="s">
        <v>863</v>
      </c>
      <c r="H3" s="239"/>
      <c r="I3" s="239"/>
      <c r="J3" s="239"/>
    </row>
    <row r="4" spans="1:11" ht="19.5" customHeight="1" x14ac:dyDescent="0.25">
      <c r="G4" s="239" t="s">
        <v>865</v>
      </c>
      <c r="H4" s="239"/>
      <c r="I4" s="239"/>
      <c r="J4" s="239"/>
    </row>
    <row r="5" spans="1:11" ht="20.25" x14ac:dyDescent="0.25">
      <c r="A5" s="230" t="s">
        <v>695</v>
      </c>
      <c r="B5" s="230"/>
      <c r="C5" s="230"/>
      <c r="D5" s="230"/>
      <c r="E5" s="230"/>
      <c r="F5" s="230"/>
      <c r="G5" s="216"/>
      <c r="H5" s="216"/>
      <c r="I5" s="216"/>
    </row>
    <row r="6" spans="1:11" ht="20.25" x14ac:dyDescent="0.25">
      <c r="A6" s="230" t="s">
        <v>696</v>
      </c>
      <c r="B6" s="230"/>
      <c r="C6" s="230"/>
      <c r="D6" s="230"/>
      <c r="E6" s="230"/>
      <c r="F6" s="230"/>
      <c r="G6" s="216"/>
      <c r="H6" s="216"/>
      <c r="I6" s="216"/>
    </row>
    <row r="7" spans="1:11" ht="14.25" thickBot="1" x14ac:dyDescent="0.3">
      <c r="A7" s="90"/>
      <c r="C7" s="90"/>
      <c r="E7" s="90"/>
      <c r="F7" s="90"/>
      <c r="H7" s="90"/>
      <c r="I7" s="140" t="s">
        <v>753</v>
      </c>
      <c r="J7" s="140"/>
    </row>
    <row r="8" spans="1:11" ht="43.5" thickBot="1" x14ac:dyDescent="0.3">
      <c r="A8" s="222"/>
      <c r="B8" s="222"/>
      <c r="C8" s="227" t="s">
        <v>699</v>
      </c>
      <c r="D8" s="91" t="s">
        <v>697</v>
      </c>
      <c r="E8" s="91"/>
      <c r="F8" s="91"/>
      <c r="G8" s="231" t="s">
        <v>754</v>
      </c>
      <c r="H8" s="232"/>
      <c r="I8" s="232"/>
      <c r="J8" s="233"/>
    </row>
    <row r="9" spans="1:11" x14ac:dyDescent="0.25">
      <c r="A9" s="223" t="s">
        <v>143</v>
      </c>
      <c r="B9" s="223" t="s">
        <v>698</v>
      </c>
      <c r="C9" s="228"/>
      <c r="D9" s="234" t="s">
        <v>369</v>
      </c>
      <c r="E9" s="92" t="s">
        <v>154</v>
      </c>
      <c r="G9" s="236" t="s">
        <v>368</v>
      </c>
      <c r="H9" s="237"/>
      <c r="I9" s="237"/>
      <c r="J9" s="238"/>
    </row>
    <row r="10" spans="1:11" ht="27.75" thickBot="1" x14ac:dyDescent="0.3">
      <c r="A10" s="224"/>
      <c r="B10" s="224"/>
      <c r="C10" s="229"/>
      <c r="D10" s="235"/>
      <c r="E10" s="77" t="s">
        <v>370</v>
      </c>
      <c r="F10" s="78" t="s">
        <v>371</v>
      </c>
      <c r="G10" s="79">
        <v>1</v>
      </c>
      <c r="H10" s="79">
        <v>2</v>
      </c>
      <c r="I10" s="79">
        <v>3</v>
      </c>
      <c r="J10" s="79">
        <v>4</v>
      </c>
    </row>
    <row r="11" spans="1:11" s="92" customFormat="1" x14ac:dyDescent="0.25">
      <c r="A11" s="141">
        <v>1</v>
      </c>
      <c r="B11" s="80">
        <v>2</v>
      </c>
      <c r="C11" s="80">
        <v>3</v>
      </c>
      <c r="D11" s="80">
        <v>4</v>
      </c>
      <c r="E11" s="80">
        <v>5</v>
      </c>
      <c r="F11" s="80">
        <v>6</v>
      </c>
      <c r="G11" s="80">
        <v>7</v>
      </c>
      <c r="H11" s="80">
        <v>8</v>
      </c>
      <c r="I11" s="80">
        <v>9</v>
      </c>
      <c r="J11" s="80">
        <v>10</v>
      </c>
    </row>
    <row r="12" spans="1:11" ht="34.5" x14ac:dyDescent="0.25">
      <c r="A12" s="153">
        <v>1000</v>
      </c>
      <c r="B12" s="93" t="s">
        <v>742</v>
      </c>
      <c r="C12" s="79"/>
      <c r="D12" s="88">
        <f t="shared" ref="D12:J12" si="0">SUM(D13,D53,D72)</f>
        <v>7858944.6364999991</v>
      </c>
      <c r="E12" s="88">
        <f t="shared" si="0"/>
        <v>6697034.7084999997</v>
      </c>
      <c r="F12" s="88">
        <f t="shared" si="0"/>
        <v>2087892.9280000001</v>
      </c>
      <c r="G12" s="81">
        <f t="shared" si="0"/>
        <v>2946450.8065637131</v>
      </c>
      <c r="H12" s="81">
        <f t="shared" si="0"/>
        <v>4634117.3964434713</v>
      </c>
      <c r="I12" s="81">
        <f t="shared" si="0"/>
        <v>6323150.4894754067</v>
      </c>
      <c r="J12" s="81">
        <f t="shared" si="0"/>
        <v>7858944.6364999991</v>
      </c>
      <c r="K12" s="216"/>
    </row>
    <row r="13" spans="1:11" s="208" customFormat="1" ht="42.75" x14ac:dyDescent="0.25">
      <c r="A13" s="153">
        <v>1100</v>
      </c>
      <c r="B13" s="86" t="s">
        <v>837</v>
      </c>
      <c r="C13" s="143">
        <v>7100</v>
      </c>
      <c r="D13" s="88">
        <f>SUM(D14,D18,D20,D43,D47)</f>
        <v>1820882.5269999998</v>
      </c>
      <c r="E13" s="88">
        <f>SUM(E14,E18,E20,E43,E47)</f>
        <v>1820882.5269999998</v>
      </c>
      <c r="F13" s="88" t="s">
        <v>0</v>
      </c>
      <c r="G13" s="88">
        <f t="shared" ref="G13:J13" si="1">SUM(G14,G18,G20,G43,G47)</f>
        <v>541566.28842678468</v>
      </c>
      <c r="H13" s="88">
        <f t="shared" si="1"/>
        <v>1018287.0441969763</v>
      </c>
      <c r="I13" s="88">
        <f t="shared" si="1"/>
        <v>1481643.1991150561</v>
      </c>
      <c r="J13" s="88">
        <f t="shared" si="1"/>
        <v>1820882.5269999998</v>
      </c>
      <c r="K13" s="216"/>
    </row>
    <row r="14" spans="1:11" s="208" customFormat="1" ht="28.5" x14ac:dyDescent="0.25">
      <c r="A14" s="153">
        <v>1110</v>
      </c>
      <c r="B14" s="86" t="s">
        <v>836</v>
      </c>
      <c r="C14" s="143">
        <v>7131</v>
      </c>
      <c r="D14" s="88">
        <f>SUM(D15,D16,D17)</f>
        <v>532704.54500000004</v>
      </c>
      <c r="E14" s="88">
        <f>SUM(E15,E16,E17)</f>
        <v>532704.54500000004</v>
      </c>
      <c r="F14" s="88" t="s">
        <v>0</v>
      </c>
      <c r="G14" s="88">
        <f t="shared" ref="G14:J14" si="2">SUM(G15,G16,G17)</f>
        <v>126834.41547619046</v>
      </c>
      <c r="H14" s="88">
        <f t="shared" si="2"/>
        <v>255782.73787698412</v>
      </c>
      <c r="I14" s="88">
        <f t="shared" si="2"/>
        <v>395300.59490079369</v>
      </c>
      <c r="J14" s="88">
        <f t="shared" si="2"/>
        <v>532704.54500000004</v>
      </c>
      <c r="K14" s="216"/>
    </row>
    <row r="15" spans="1:11" ht="40.5" x14ac:dyDescent="0.25">
      <c r="A15" s="153">
        <v>1111</v>
      </c>
      <c r="B15" s="83" t="s">
        <v>838</v>
      </c>
      <c r="C15" s="79"/>
      <c r="D15" s="145">
        <f>E15</f>
        <v>5564.06</v>
      </c>
      <c r="E15" s="145">
        <v>5564.06</v>
      </c>
      <c r="F15" s="145" t="s">
        <v>0</v>
      </c>
      <c r="G15" s="145">
        <f>+D15/252*60</f>
        <v>1324.7761904761905</v>
      </c>
      <c r="H15" s="145">
        <f>+D15/252*121</f>
        <v>2671.6319841269842</v>
      </c>
      <c r="I15" s="145">
        <f>+D15/252*187</f>
        <v>4128.8857936507939</v>
      </c>
      <c r="J15" s="145">
        <f>+D15</f>
        <v>5564.06</v>
      </c>
      <c r="K15" s="216"/>
    </row>
    <row r="16" spans="1:11" ht="27" x14ac:dyDescent="0.25">
      <c r="A16" s="153">
        <v>1112</v>
      </c>
      <c r="B16" s="83" t="s">
        <v>700</v>
      </c>
      <c r="C16" s="79"/>
      <c r="D16" s="145">
        <f t="shared" ref="D16:D17" si="3">E16</f>
        <v>4504.3</v>
      </c>
      <c r="E16" s="145">
        <v>4504.3</v>
      </c>
      <c r="F16" s="145" t="s">
        <v>0</v>
      </c>
      <c r="G16" s="145">
        <f t="shared" ref="G16" si="4">+D16/252*60</f>
        <v>1072.452380952381</v>
      </c>
      <c r="H16" s="145">
        <f t="shared" ref="H16:H17" si="5">+D16/252*121</f>
        <v>2162.7789682539683</v>
      </c>
      <c r="I16" s="145">
        <f t="shared" ref="I16" si="6">+D16/252*187</f>
        <v>3342.4765873015876</v>
      </c>
      <c r="J16" s="145">
        <f t="shared" ref="J16" si="7">+D16</f>
        <v>4504.3</v>
      </c>
      <c r="K16" s="216"/>
    </row>
    <row r="17" spans="1:11" ht="27" x14ac:dyDescent="0.25">
      <c r="A17" s="153">
        <v>1113</v>
      </c>
      <c r="B17" s="83" t="s">
        <v>828</v>
      </c>
      <c r="C17" s="79"/>
      <c r="D17" s="145">
        <f t="shared" si="3"/>
        <v>522636.185</v>
      </c>
      <c r="E17" s="145">
        <f>502636.185+10000+10000</f>
        <v>522636.185</v>
      </c>
      <c r="F17" s="145" t="s">
        <v>0</v>
      </c>
      <c r="G17" s="145">
        <f>+D17/252*60</f>
        <v>124437.1869047619</v>
      </c>
      <c r="H17" s="145">
        <f t="shared" si="5"/>
        <v>250948.32692460317</v>
      </c>
      <c r="I17" s="145">
        <f>+D17/252*187</f>
        <v>387829.23251984129</v>
      </c>
      <c r="J17" s="145">
        <f>+D17</f>
        <v>522636.185</v>
      </c>
      <c r="K17" s="216"/>
    </row>
    <row r="18" spans="1:11" s="208" customFormat="1" ht="14.25" x14ac:dyDescent="0.25">
      <c r="A18" s="153">
        <v>1120</v>
      </c>
      <c r="B18" s="86" t="s">
        <v>701</v>
      </c>
      <c r="C18" s="143">
        <v>7136</v>
      </c>
      <c r="D18" s="88">
        <f>SUM(D19)</f>
        <v>1100071.9819999998</v>
      </c>
      <c r="E18" s="88">
        <f>SUM(E19)</f>
        <v>1100071.9819999998</v>
      </c>
      <c r="F18" s="88" t="s">
        <v>0</v>
      </c>
      <c r="G18" s="82">
        <f>SUM(G19)</f>
        <v>369944.73009345139</v>
      </c>
      <c r="H18" s="82">
        <f>SUM(H19)</f>
        <v>672183.56822475407</v>
      </c>
      <c r="I18" s="82">
        <f>SUM(I19)</f>
        <v>946756.00897616718</v>
      </c>
      <c r="J18" s="82">
        <f>SUM(J19)</f>
        <v>1100071.9819999998</v>
      </c>
      <c r="K18" s="216"/>
    </row>
    <row r="19" spans="1:11" ht="40.5" x14ac:dyDescent="0.25">
      <c r="A19" s="153">
        <v>1121</v>
      </c>
      <c r="B19" s="83" t="s">
        <v>743</v>
      </c>
      <c r="C19" s="79"/>
      <c r="D19" s="145">
        <f>E19</f>
        <v>1100071.9819999998</v>
      </c>
      <c r="E19" s="145">
        <f>1048071.982+50000+2000</f>
        <v>1100071.9819999998</v>
      </c>
      <c r="F19" s="145" t="s">
        <v>0</v>
      </c>
      <c r="G19" s="145">
        <v>369944.73009345139</v>
      </c>
      <c r="H19" s="145">
        <v>672183.56822475407</v>
      </c>
      <c r="I19" s="145">
        <v>946756.00897616718</v>
      </c>
      <c r="J19" s="145">
        <f>+D19</f>
        <v>1100071.9819999998</v>
      </c>
      <c r="K19" s="216"/>
    </row>
    <row r="20" spans="1:11" s="208" customFormat="1" ht="42.75" x14ac:dyDescent="0.25">
      <c r="A20" s="153">
        <v>1130</v>
      </c>
      <c r="B20" s="86" t="s">
        <v>702</v>
      </c>
      <c r="C20" s="143">
        <v>7145</v>
      </c>
      <c r="D20" s="88">
        <f>SUM(D21)</f>
        <v>133106</v>
      </c>
      <c r="E20" s="88">
        <f>SUM(E21)</f>
        <v>133106</v>
      </c>
      <c r="F20" s="88" t="s">
        <v>0</v>
      </c>
      <c r="G20" s="82">
        <f>SUM(G21)</f>
        <v>31691.90476190476</v>
      </c>
      <c r="H20" s="82">
        <f>SUM(H21)</f>
        <v>63912.007936507929</v>
      </c>
      <c r="I20" s="82">
        <f>SUM(I21)</f>
        <v>98773.103174603151</v>
      </c>
      <c r="J20" s="82">
        <f>SUM(J21)</f>
        <v>133106</v>
      </c>
      <c r="K20" s="216"/>
    </row>
    <row r="21" spans="1:11" ht="67.5" x14ac:dyDescent="0.25">
      <c r="A21" s="153">
        <v>11301</v>
      </c>
      <c r="B21" s="83" t="s">
        <v>839</v>
      </c>
      <c r="C21" s="79">
        <v>7145</v>
      </c>
      <c r="D21" s="145">
        <f>D22+D25+D26+D27+D28+D29+D30+D31+D32+D33+D34+D35+D36+D37+D38+D39+D40+D41+D42</f>
        <v>133106</v>
      </c>
      <c r="E21" s="145">
        <f>E22+E25+E26+E27+E28+E29+E30+E31+E32+E33+E34+E35+E36+E37+E38+E39+E40+E41+E42</f>
        <v>133106</v>
      </c>
      <c r="F21" s="145" t="s">
        <v>0</v>
      </c>
      <c r="G21" s="145">
        <f t="shared" ref="G21:J21" si="8">G22+G25+G26+G27+G28+G29+G30+G31+G32+G33+G34+G35+G36+G37+G38+G39+G40+G41+G42</f>
        <v>31691.90476190476</v>
      </c>
      <c r="H21" s="145">
        <f t="shared" si="8"/>
        <v>63912.007936507929</v>
      </c>
      <c r="I21" s="145">
        <f t="shared" si="8"/>
        <v>98773.103174603151</v>
      </c>
      <c r="J21" s="145">
        <f t="shared" si="8"/>
        <v>133106</v>
      </c>
      <c r="K21" s="216"/>
    </row>
    <row r="22" spans="1:11" ht="54" x14ac:dyDescent="0.25">
      <c r="A22" s="153">
        <v>11302</v>
      </c>
      <c r="B22" s="83" t="s">
        <v>840</v>
      </c>
      <c r="C22" s="79"/>
      <c r="D22" s="145">
        <f>SUM(D23:D24)</f>
        <v>11005</v>
      </c>
      <c r="E22" s="145">
        <f>SUM(E23:E24)</f>
        <v>11005</v>
      </c>
      <c r="F22" s="145" t="s">
        <v>0</v>
      </c>
      <c r="G22" s="145">
        <f t="shared" ref="G22:G42" si="9">+D22/252*60</f>
        <v>2620.238095238095</v>
      </c>
      <c r="H22" s="145">
        <f t="shared" ref="H22:H42" si="10">+D22/252*121</f>
        <v>5284.1468253968251</v>
      </c>
      <c r="I22" s="145">
        <f t="shared" ref="I22:I42" si="11">+D22/252*187</f>
        <v>8166.4087301587297</v>
      </c>
      <c r="J22" s="145">
        <f t="shared" ref="J22:J42" si="12">+D22</f>
        <v>11005</v>
      </c>
      <c r="K22" s="216"/>
    </row>
    <row r="23" spans="1:11" ht="27" x14ac:dyDescent="0.25">
      <c r="A23" s="153">
        <v>113021</v>
      </c>
      <c r="B23" s="83" t="s">
        <v>841</v>
      </c>
      <c r="C23" s="79"/>
      <c r="D23" s="145">
        <f>E23</f>
        <v>10915</v>
      </c>
      <c r="E23" s="145">
        <v>10915</v>
      </c>
      <c r="F23" s="145" t="s">
        <v>0</v>
      </c>
      <c r="G23" s="145">
        <f t="shared" si="9"/>
        <v>2598.8095238095239</v>
      </c>
      <c r="H23" s="145">
        <f t="shared" si="10"/>
        <v>5240.9325396825398</v>
      </c>
      <c r="I23" s="145">
        <f t="shared" si="11"/>
        <v>8099.6230158730159</v>
      </c>
      <c r="J23" s="145">
        <f t="shared" si="12"/>
        <v>10915</v>
      </c>
      <c r="K23" s="216"/>
    </row>
    <row r="24" spans="1:11" x14ac:dyDescent="0.25">
      <c r="A24" s="153">
        <v>113022</v>
      </c>
      <c r="B24" s="89" t="s">
        <v>703</v>
      </c>
      <c r="C24" s="79"/>
      <c r="D24" s="145">
        <f>E24</f>
        <v>90</v>
      </c>
      <c r="E24" s="145">
        <v>90</v>
      </c>
      <c r="F24" s="145" t="s">
        <v>0</v>
      </c>
      <c r="G24" s="145">
        <f t="shared" si="9"/>
        <v>21.428571428571431</v>
      </c>
      <c r="H24" s="145">
        <f t="shared" si="10"/>
        <v>43.214285714285715</v>
      </c>
      <c r="I24" s="145">
        <f t="shared" si="11"/>
        <v>66.785714285714292</v>
      </c>
      <c r="J24" s="145">
        <f t="shared" si="12"/>
        <v>90</v>
      </c>
      <c r="K24" s="216"/>
    </row>
    <row r="25" spans="1:11" ht="108" x14ac:dyDescent="0.25">
      <c r="A25" s="153">
        <v>11303</v>
      </c>
      <c r="B25" s="83" t="s">
        <v>641</v>
      </c>
      <c r="C25" s="79"/>
      <c r="D25" s="145">
        <f>E25</f>
        <v>126</v>
      </c>
      <c r="E25" s="145">
        <v>126</v>
      </c>
      <c r="F25" s="145" t="s">
        <v>0</v>
      </c>
      <c r="G25" s="145">
        <f t="shared" si="9"/>
        <v>30</v>
      </c>
      <c r="H25" s="145">
        <f t="shared" si="10"/>
        <v>60.5</v>
      </c>
      <c r="I25" s="145">
        <f t="shared" si="11"/>
        <v>93.5</v>
      </c>
      <c r="J25" s="145">
        <f t="shared" si="12"/>
        <v>126</v>
      </c>
      <c r="K25" s="216"/>
    </row>
    <row r="26" spans="1:11" ht="40.5" x14ac:dyDescent="0.25">
      <c r="A26" s="153">
        <v>11304</v>
      </c>
      <c r="B26" s="83" t="s">
        <v>642</v>
      </c>
      <c r="C26" s="79"/>
      <c r="D26" s="145">
        <f>SUM(E26:F26)</f>
        <v>35</v>
      </c>
      <c r="E26" s="145">
        <v>35</v>
      </c>
      <c r="F26" s="145" t="s">
        <v>0</v>
      </c>
      <c r="G26" s="145">
        <f t="shared" si="9"/>
        <v>8.3333333333333339</v>
      </c>
      <c r="H26" s="145">
        <f t="shared" si="10"/>
        <v>16.805555555555557</v>
      </c>
      <c r="I26" s="145">
        <f t="shared" si="11"/>
        <v>25.972222222222225</v>
      </c>
      <c r="J26" s="145">
        <f t="shared" si="12"/>
        <v>35</v>
      </c>
      <c r="K26" s="216"/>
    </row>
    <row r="27" spans="1:11" ht="54" x14ac:dyDescent="0.25">
      <c r="A27" s="153">
        <v>11305</v>
      </c>
      <c r="B27" s="83" t="s">
        <v>643</v>
      </c>
      <c r="C27" s="79"/>
      <c r="D27" s="145">
        <f t="shared" ref="D27:D42" si="13">E27</f>
        <v>15900</v>
      </c>
      <c r="E27" s="145">
        <v>15900</v>
      </c>
      <c r="F27" s="145" t="s">
        <v>0</v>
      </c>
      <c r="G27" s="145">
        <f t="shared" si="9"/>
        <v>3785.7142857142858</v>
      </c>
      <c r="H27" s="145">
        <f t="shared" si="10"/>
        <v>7634.5238095238092</v>
      </c>
      <c r="I27" s="145">
        <f t="shared" si="11"/>
        <v>11798.809523809523</v>
      </c>
      <c r="J27" s="145">
        <f t="shared" si="12"/>
        <v>15900</v>
      </c>
      <c r="K27" s="216"/>
    </row>
    <row r="28" spans="1:11" ht="108" x14ac:dyDescent="0.25">
      <c r="A28" s="153">
        <v>11306</v>
      </c>
      <c r="B28" s="83" t="s">
        <v>644</v>
      </c>
      <c r="C28" s="79"/>
      <c r="D28" s="145">
        <f t="shared" si="13"/>
        <v>3600</v>
      </c>
      <c r="E28" s="145">
        <v>3600</v>
      </c>
      <c r="F28" s="145" t="s">
        <v>0</v>
      </c>
      <c r="G28" s="145">
        <f t="shared" si="9"/>
        <v>857.14285714285722</v>
      </c>
      <c r="H28" s="145">
        <f t="shared" si="10"/>
        <v>1728.5714285714287</v>
      </c>
      <c r="I28" s="145">
        <f t="shared" si="11"/>
        <v>2671.4285714285716</v>
      </c>
      <c r="J28" s="145">
        <f t="shared" si="12"/>
        <v>3600</v>
      </c>
      <c r="K28" s="216"/>
    </row>
    <row r="29" spans="1:11" ht="54" x14ac:dyDescent="0.25">
      <c r="A29" s="153">
        <v>11307</v>
      </c>
      <c r="B29" s="83" t="s">
        <v>645</v>
      </c>
      <c r="C29" s="79"/>
      <c r="D29" s="145">
        <f t="shared" si="13"/>
        <v>3075</v>
      </c>
      <c r="E29" s="145">
        <v>3075</v>
      </c>
      <c r="F29" s="145" t="s">
        <v>0</v>
      </c>
      <c r="G29" s="145">
        <f t="shared" si="9"/>
        <v>732.14285714285711</v>
      </c>
      <c r="H29" s="145">
        <f t="shared" si="10"/>
        <v>1476.4880952380952</v>
      </c>
      <c r="I29" s="145">
        <f t="shared" si="11"/>
        <v>2281.8452380952381</v>
      </c>
      <c r="J29" s="145">
        <f t="shared" si="12"/>
        <v>3075</v>
      </c>
      <c r="K29" s="216"/>
    </row>
    <row r="30" spans="1:11" ht="40.5" x14ac:dyDescent="0.25">
      <c r="A30" s="153">
        <v>11308</v>
      </c>
      <c r="B30" s="83" t="s">
        <v>646</v>
      </c>
      <c r="C30" s="79"/>
      <c r="D30" s="145">
        <f t="shared" si="13"/>
        <v>34320</v>
      </c>
      <c r="E30" s="145">
        <v>34320</v>
      </c>
      <c r="F30" s="145" t="s">
        <v>0</v>
      </c>
      <c r="G30" s="145">
        <f t="shared" si="9"/>
        <v>8171.4285714285725</v>
      </c>
      <c r="H30" s="145">
        <f t="shared" si="10"/>
        <v>16479.047619047622</v>
      </c>
      <c r="I30" s="145">
        <f t="shared" si="11"/>
        <v>25467.61904761905</v>
      </c>
      <c r="J30" s="145">
        <f t="shared" si="12"/>
        <v>34320</v>
      </c>
      <c r="K30" s="216"/>
    </row>
    <row r="31" spans="1:11" ht="27" x14ac:dyDescent="0.25">
      <c r="A31" s="153">
        <v>11309</v>
      </c>
      <c r="B31" s="83" t="s">
        <v>647</v>
      </c>
      <c r="C31" s="79"/>
      <c r="D31" s="145">
        <f t="shared" si="13"/>
        <v>800</v>
      </c>
      <c r="E31" s="145">
        <v>800</v>
      </c>
      <c r="F31" s="145" t="s">
        <v>0</v>
      </c>
      <c r="G31" s="145">
        <f t="shared" si="9"/>
        <v>190.47619047619045</v>
      </c>
      <c r="H31" s="145">
        <f t="shared" si="10"/>
        <v>384.1269841269841</v>
      </c>
      <c r="I31" s="145">
        <f t="shared" si="11"/>
        <v>593.65079365079362</v>
      </c>
      <c r="J31" s="145">
        <f t="shared" si="12"/>
        <v>800</v>
      </c>
      <c r="K31" s="216"/>
    </row>
    <row r="32" spans="1:11" ht="67.5" x14ac:dyDescent="0.25">
      <c r="A32" s="153">
        <v>11310</v>
      </c>
      <c r="B32" s="83" t="s">
        <v>704</v>
      </c>
      <c r="C32" s="79"/>
      <c r="D32" s="145">
        <f t="shared" si="13"/>
        <v>2100</v>
      </c>
      <c r="E32" s="145">
        <v>2100</v>
      </c>
      <c r="F32" s="145" t="s">
        <v>0</v>
      </c>
      <c r="G32" s="145">
        <f t="shared" si="9"/>
        <v>500.00000000000006</v>
      </c>
      <c r="H32" s="145">
        <f t="shared" si="10"/>
        <v>1008.3333333333334</v>
      </c>
      <c r="I32" s="145">
        <f t="shared" si="11"/>
        <v>1558.3333333333335</v>
      </c>
      <c r="J32" s="145">
        <f t="shared" si="12"/>
        <v>2100</v>
      </c>
      <c r="K32" s="216"/>
    </row>
    <row r="33" spans="1:11" ht="40.5" x14ac:dyDescent="0.25">
      <c r="A33" s="153">
        <v>11311</v>
      </c>
      <c r="B33" s="83" t="s">
        <v>648</v>
      </c>
      <c r="C33" s="79"/>
      <c r="D33" s="145">
        <f t="shared" si="13"/>
        <v>7156</v>
      </c>
      <c r="E33" s="145">
        <v>7156</v>
      </c>
      <c r="F33" s="145" t="s">
        <v>0</v>
      </c>
      <c r="G33" s="145">
        <f t="shared" si="9"/>
        <v>1703.8095238095236</v>
      </c>
      <c r="H33" s="145">
        <f t="shared" si="10"/>
        <v>3436.0158730158728</v>
      </c>
      <c r="I33" s="145">
        <f t="shared" si="11"/>
        <v>5310.2063492063489</v>
      </c>
      <c r="J33" s="145">
        <f t="shared" si="12"/>
        <v>7156</v>
      </c>
      <c r="K33" s="216"/>
    </row>
    <row r="34" spans="1:11" ht="54" x14ac:dyDescent="0.25">
      <c r="A34" s="153">
        <v>11312</v>
      </c>
      <c r="B34" s="83" t="s">
        <v>705</v>
      </c>
      <c r="C34" s="79"/>
      <c r="D34" s="145">
        <f t="shared" si="13"/>
        <v>125</v>
      </c>
      <c r="E34" s="145">
        <v>125</v>
      </c>
      <c r="F34" s="145" t="s">
        <v>0</v>
      </c>
      <c r="G34" s="145">
        <f t="shared" si="9"/>
        <v>29.761904761904763</v>
      </c>
      <c r="H34" s="145">
        <f t="shared" si="10"/>
        <v>60.019841269841272</v>
      </c>
      <c r="I34" s="145">
        <f t="shared" si="11"/>
        <v>92.757936507936506</v>
      </c>
      <c r="J34" s="145">
        <f t="shared" si="12"/>
        <v>125</v>
      </c>
      <c r="K34" s="216"/>
    </row>
    <row r="35" spans="1:11" ht="27" x14ac:dyDescent="0.25">
      <c r="A35" s="153">
        <v>11313</v>
      </c>
      <c r="B35" s="83" t="s">
        <v>706</v>
      </c>
      <c r="C35" s="79"/>
      <c r="D35" s="145">
        <f t="shared" si="13"/>
        <v>51264</v>
      </c>
      <c r="E35" s="145">
        <v>51264</v>
      </c>
      <c r="F35" s="145" t="s">
        <v>0</v>
      </c>
      <c r="G35" s="145">
        <f t="shared" si="9"/>
        <v>12205.714285714284</v>
      </c>
      <c r="H35" s="145">
        <f t="shared" si="10"/>
        <v>24614.857142857141</v>
      </c>
      <c r="I35" s="145">
        <f t="shared" si="11"/>
        <v>38041.142857142855</v>
      </c>
      <c r="J35" s="145">
        <f t="shared" si="12"/>
        <v>51264</v>
      </c>
      <c r="K35" s="216"/>
    </row>
    <row r="36" spans="1:11" ht="81" x14ac:dyDescent="0.25">
      <c r="A36" s="153">
        <v>11314</v>
      </c>
      <c r="B36" s="83" t="s">
        <v>649</v>
      </c>
      <c r="C36" s="79"/>
      <c r="D36" s="145">
        <f t="shared" si="13"/>
        <v>900</v>
      </c>
      <c r="E36" s="145">
        <v>900</v>
      </c>
      <c r="F36" s="145" t="s">
        <v>0</v>
      </c>
      <c r="G36" s="145">
        <f t="shared" si="9"/>
        <v>214.28571428571431</v>
      </c>
      <c r="H36" s="145">
        <f t="shared" si="10"/>
        <v>432.14285714285717</v>
      </c>
      <c r="I36" s="145">
        <f t="shared" si="11"/>
        <v>667.85714285714289</v>
      </c>
      <c r="J36" s="145">
        <f t="shared" si="12"/>
        <v>900</v>
      </c>
      <c r="K36" s="216"/>
    </row>
    <row r="37" spans="1:11" ht="54" x14ac:dyDescent="0.25">
      <c r="A37" s="153">
        <v>11315</v>
      </c>
      <c r="B37" s="83" t="s">
        <v>650</v>
      </c>
      <c r="C37" s="79"/>
      <c r="D37" s="145">
        <f t="shared" si="13"/>
        <v>0</v>
      </c>
      <c r="E37" s="145"/>
      <c r="F37" s="145" t="s">
        <v>0</v>
      </c>
      <c r="G37" s="145">
        <f t="shared" si="9"/>
        <v>0</v>
      </c>
      <c r="H37" s="145">
        <f t="shared" si="10"/>
        <v>0</v>
      </c>
      <c r="I37" s="145">
        <f t="shared" si="11"/>
        <v>0</v>
      </c>
      <c r="J37" s="145">
        <f t="shared" si="12"/>
        <v>0</v>
      </c>
      <c r="K37" s="216"/>
    </row>
    <row r="38" spans="1:11" ht="67.5" x14ac:dyDescent="0.25">
      <c r="A38" s="153">
        <v>11316</v>
      </c>
      <c r="B38" s="83" t="s">
        <v>651</v>
      </c>
      <c r="C38" s="79"/>
      <c r="D38" s="145">
        <f t="shared" si="13"/>
        <v>1500</v>
      </c>
      <c r="E38" s="145">
        <v>1500</v>
      </c>
      <c r="F38" s="145" t="s">
        <v>0</v>
      </c>
      <c r="G38" s="145">
        <f t="shared" si="9"/>
        <v>357.14285714285717</v>
      </c>
      <c r="H38" s="145">
        <f t="shared" si="10"/>
        <v>720.2380952380953</v>
      </c>
      <c r="I38" s="145">
        <f t="shared" si="11"/>
        <v>1113.0952380952381</v>
      </c>
      <c r="J38" s="145">
        <f t="shared" si="12"/>
        <v>1500</v>
      </c>
      <c r="K38" s="216"/>
    </row>
    <row r="39" spans="1:11" ht="40.5" x14ac:dyDescent="0.25">
      <c r="A39" s="153">
        <v>11317</v>
      </c>
      <c r="B39" s="83" t="s">
        <v>652</v>
      </c>
      <c r="C39" s="79"/>
      <c r="D39" s="145">
        <f t="shared" si="13"/>
        <v>0</v>
      </c>
      <c r="E39" s="145"/>
      <c r="F39" s="145" t="s">
        <v>0</v>
      </c>
      <c r="G39" s="145">
        <f t="shared" si="9"/>
        <v>0</v>
      </c>
      <c r="H39" s="145">
        <f t="shared" si="10"/>
        <v>0</v>
      </c>
      <c r="I39" s="145">
        <f t="shared" si="11"/>
        <v>0</v>
      </c>
      <c r="J39" s="145">
        <f t="shared" si="12"/>
        <v>0</v>
      </c>
      <c r="K39" s="216"/>
    </row>
    <row r="40" spans="1:11" ht="40.5" x14ac:dyDescent="0.25">
      <c r="A40" s="153">
        <v>11318</v>
      </c>
      <c r="B40" s="83" t="s">
        <v>653</v>
      </c>
      <c r="C40" s="79"/>
      <c r="D40" s="145">
        <f t="shared" si="13"/>
        <v>0</v>
      </c>
      <c r="E40" s="145"/>
      <c r="F40" s="145" t="s">
        <v>0</v>
      </c>
      <c r="G40" s="145">
        <f t="shared" si="9"/>
        <v>0</v>
      </c>
      <c r="H40" s="145">
        <f t="shared" si="10"/>
        <v>0</v>
      </c>
      <c r="I40" s="145">
        <f t="shared" si="11"/>
        <v>0</v>
      </c>
      <c r="J40" s="145">
        <f t="shared" si="12"/>
        <v>0</v>
      </c>
      <c r="K40" s="216"/>
    </row>
    <row r="41" spans="1:11" ht="40.5" x14ac:dyDescent="0.25">
      <c r="A41" s="153">
        <v>11319</v>
      </c>
      <c r="B41" s="83" t="s">
        <v>858</v>
      </c>
      <c r="C41" s="79"/>
      <c r="D41" s="145">
        <f t="shared" si="13"/>
        <v>120</v>
      </c>
      <c r="E41" s="145">
        <v>120</v>
      </c>
      <c r="F41" s="145" t="s">
        <v>0</v>
      </c>
      <c r="G41" s="145">
        <f t="shared" si="9"/>
        <v>28.571428571428569</v>
      </c>
      <c r="H41" s="145">
        <f t="shared" si="10"/>
        <v>57.619047619047613</v>
      </c>
      <c r="I41" s="145">
        <f t="shared" si="11"/>
        <v>89.047619047619037</v>
      </c>
      <c r="J41" s="145">
        <f t="shared" si="12"/>
        <v>120</v>
      </c>
      <c r="K41" s="216"/>
    </row>
    <row r="42" spans="1:11" x14ac:dyDescent="0.25">
      <c r="A42" s="153">
        <v>11320</v>
      </c>
      <c r="B42" s="83" t="s">
        <v>707</v>
      </c>
      <c r="C42" s="79"/>
      <c r="D42" s="145">
        <f t="shared" si="13"/>
        <v>1080</v>
      </c>
      <c r="E42" s="145">
        <v>1080</v>
      </c>
      <c r="F42" s="145" t="s">
        <v>0</v>
      </c>
      <c r="G42" s="145">
        <f t="shared" si="9"/>
        <v>257.14285714285711</v>
      </c>
      <c r="H42" s="145">
        <f t="shared" si="10"/>
        <v>518.57142857142856</v>
      </c>
      <c r="I42" s="145">
        <f t="shared" si="11"/>
        <v>801.42857142857144</v>
      </c>
      <c r="J42" s="145">
        <f t="shared" si="12"/>
        <v>1080</v>
      </c>
      <c r="K42" s="216"/>
    </row>
    <row r="43" spans="1:11" ht="42.75" x14ac:dyDescent="0.25">
      <c r="A43" s="142">
        <v>1150</v>
      </c>
      <c r="B43" s="86" t="s">
        <v>708</v>
      </c>
      <c r="C43" s="143">
        <v>7146</v>
      </c>
      <c r="D43" s="88">
        <f>SUM(D44)</f>
        <v>55000</v>
      </c>
      <c r="E43" s="88">
        <f>SUM(E44)</f>
        <v>55000</v>
      </c>
      <c r="F43" s="88" t="s">
        <v>0</v>
      </c>
      <c r="G43" s="88">
        <f t="shared" ref="G43:J43" si="14">SUM(G44)</f>
        <v>13095.238095238095</v>
      </c>
      <c r="H43" s="88">
        <f t="shared" si="14"/>
        <v>26408.730158730155</v>
      </c>
      <c r="I43" s="88">
        <f t="shared" si="14"/>
        <v>40813.492063492064</v>
      </c>
      <c r="J43" s="88">
        <f t="shared" si="14"/>
        <v>55000</v>
      </c>
      <c r="K43" s="216"/>
    </row>
    <row r="44" spans="1:11" ht="27" x14ac:dyDescent="0.25">
      <c r="A44" s="146">
        <v>1151</v>
      </c>
      <c r="B44" s="83" t="s">
        <v>842</v>
      </c>
      <c r="C44" s="79"/>
      <c r="D44" s="145">
        <f>SUM(D45,D46)</f>
        <v>55000</v>
      </c>
      <c r="E44" s="145">
        <f>SUM(E45,E46)</f>
        <v>55000</v>
      </c>
      <c r="F44" s="145" t="s">
        <v>0</v>
      </c>
      <c r="G44" s="145">
        <f t="shared" ref="G44:J44" si="15">SUM(G45,G46)</f>
        <v>13095.238095238095</v>
      </c>
      <c r="H44" s="145">
        <f t="shared" si="15"/>
        <v>26408.730158730155</v>
      </c>
      <c r="I44" s="145">
        <f t="shared" si="15"/>
        <v>40813.492063492064</v>
      </c>
      <c r="J44" s="145">
        <f t="shared" si="15"/>
        <v>55000</v>
      </c>
      <c r="K44" s="216"/>
    </row>
    <row r="45" spans="1:11" s="208" customFormat="1" ht="108" x14ac:dyDescent="0.25">
      <c r="A45" s="146">
        <v>1152</v>
      </c>
      <c r="B45" s="83" t="s">
        <v>834</v>
      </c>
      <c r="C45" s="79"/>
      <c r="D45" s="145">
        <f>SUM(E45:F45)</f>
        <v>13000</v>
      </c>
      <c r="E45" s="145">
        <v>13000</v>
      </c>
      <c r="F45" s="145" t="s">
        <v>0</v>
      </c>
      <c r="G45" s="145">
        <f t="shared" ref="G45:G46" si="16">+D45/252*60</f>
        <v>3095.2380952380954</v>
      </c>
      <c r="H45" s="145">
        <f t="shared" ref="H45:H46" si="17">+D45/252*121</f>
        <v>6242.063492063492</v>
      </c>
      <c r="I45" s="145">
        <f t="shared" ref="I45:I46" si="18">+D45/252*187</f>
        <v>9646.8253968253975</v>
      </c>
      <c r="J45" s="145">
        <f t="shared" ref="J45:J46" si="19">+D45</f>
        <v>13000</v>
      </c>
      <c r="K45" s="216"/>
    </row>
    <row r="46" spans="1:11" ht="94.5" x14ac:dyDescent="0.25">
      <c r="A46" s="79">
        <v>1153</v>
      </c>
      <c r="B46" s="83" t="s">
        <v>709</v>
      </c>
      <c r="C46" s="79"/>
      <c r="D46" s="145">
        <f>SUM(E46:F46)</f>
        <v>42000</v>
      </c>
      <c r="E46" s="145">
        <v>42000</v>
      </c>
      <c r="F46" s="145" t="s">
        <v>0</v>
      </c>
      <c r="G46" s="145">
        <f t="shared" si="16"/>
        <v>10000</v>
      </c>
      <c r="H46" s="145">
        <f t="shared" si="17"/>
        <v>20166.666666666664</v>
      </c>
      <c r="I46" s="145">
        <f t="shared" si="18"/>
        <v>31166.666666666664</v>
      </c>
      <c r="J46" s="145">
        <f t="shared" si="19"/>
        <v>42000</v>
      </c>
      <c r="K46" s="216"/>
    </row>
    <row r="47" spans="1:11" ht="28.5" x14ac:dyDescent="0.25">
      <c r="A47" s="142">
        <v>1160</v>
      </c>
      <c r="B47" s="86" t="s">
        <v>710</v>
      </c>
      <c r="C47" s="143">
        <v>7161</v>
      </c>
      <c r="D47" s="88">
        <f>SUM(D48,D52)</f>
        <v>0</v>
      </c>
      <c r="E47" s="88">
        <f>SUM(E48,E52)</f>
        <v>0</v>
      </c>
      <c r="F47" s="88" t="s">
        <v>0</v>
      </c>
      <c r="G47" s="88">
        <f t="shared" ref="G47:J47" si="20">SUM(G48,G52)</f>
        <v>0</v>
      </c>
      <c r="H47" s="88">
        <f t="shared" si="20"/>
        <v>0</v>
      </c>
      <c r="I47" s="88">
        <f t="shared" si="20"/>
        <v>0</v>
      </c>
      <c r="J47" s="88">
        <f t="shared" si="20"/>
        <v>0</v>
      </c>
      <c r="K47" s="216"/>
    </row>
    <row r="48" spans="1:11" ht="67.5" x14ac:dyDescent="0.25">
      <c r="A48" s="146">
        <v>1161</v>
      </c>
      <c r="B48" s="83" t="s">
        <v>835</v>
      </c>
      <c r="C48" s="79"/>
      <c r="D48" s="145">
        <f>SUM(D49:D51)</f>
        <v>0</v>
      </c>
      <c r="E48" s="145">
        <f>SUM(E49:E51)</f>
        <v>0</v>
      </c>
      <c r="F48" s="145" t="s">
        <v>0</v>
      </c>
      <c r="G48" s="145">
        <f t="shared" ref="G48:G52" si="21">+D48/252*60</f>
        <v>0</v>
      </c>
      <c r="H48" s="145">
        <f t="shared" ref="H48:H52" si="22">+D48/252*121</f>
        <v>0</v>
      </c>
      <c r="I48" s="145">
        <f t="shared" ref="I48:I52" si="23">+D48/252*187</f>
        <v>0</v>
      </c>
      <c r="J48" s="145">
        <f t="shared" ref="J48:J52" si="24">+D48</f>
        <v>0</v>
      </c>
      <c r="K48" s="216"/>
    </row>
    <row r="49" spans="1:11" s="208" customFormat="1" ht="27" x14ac:dyDescent="0.25">
      <c r="A49" s="148">
        <v>1162</v>
      </c>
      <c r="B49" s="83" t="s">
        <v>744</v>
      </c>
      <c r="C49" s="79"/>
      <c r="D49" s="145">
        <f>SUM(E49:F49)</f>
        <v>0</v>
      </c>
      <c r="E49" s="145">
        <v>0</v>
      </c>
      <c r="F49" s="145" t="s">
        <v>0</v>
      </c>
      <c r="G49" s="145">
        <f t="shared" si="21"/>
        <v>0</v>
      </c>
      <c r="H49" s="145">
        <f t="shared" si="22"/>
        <v>0</v>
      </c>
      <c r="I49" s="145">
        <f t="shared" si="23"/>
        <v>0</v>
      </c>
      <c r="J49" s="145">
        <f t="shared" si="24"/>
        <v>0</v>
      </c>
      <c r="K49" s="216"/>
    </row>
    <row r="50" spans="1:11" x14ac:dyDescent="0.25">
      <c r="A50" s="148">
        <v>1163</v>
      </c>
      <c r="B50" s="89" t="s">
        <v>711</v>
      </c>
      <c r="C50" s="79"/>
      <c r="D50" s="145">
        <f>SUM(E50:F50)</f>
        <v>0</v>
      </c>
      <c r="E50" s="145">
        <v>0</v>
      </c>
      <c r="F50" s="145" t="s">
        <v>0</v>
      </c>
      <c r="G50" s="145">
        <f t="shared" si="21"/>
        <v>0</v>
      </c>
      <c r="H50" s="145">
        <f t="shared" si="22"/>
        <v>0</v>
      </c>
      <c r="I50" s="145">
        <f t="shared" si="23"/>
        <v>0</v>
      </c>
      <c r="J50" s="145">
        <f t="shared" si="24"/>
        <v>0</v>
      </c>
      <c r="K50" s="216"/>
    </row>
    <row r="51" spans="1:11" ht="54" x14ac:dyDescent="0.25">
      <c r="A51" s="148">
        <v>1164</v>
      </c>
      <c r="B51" s="89" t="s">
        <v>712</v>
      </c>
      <c r="C51" s="79"/>
      <c r="D51" s="145">
        <f>SUM(E51:F51)</f>
        <v>0</v>
      </c>
      <c r="E51" s="145">
        <v>0</v>
      </c>
      <c r="F51" s="145" t="s">
        <v>0</v>
      </c>
      <c r="G51" s="145">
        <f t="shared" si="21"/>
        <v>0</v>
      </c>
      <c r="H51" s="145">
        <f t="shared" si="22"/>
        <v>0</v>
      </c>
      <c r="I51" s="145">
        <f t="shared" si="23"/>
        <v>0</v>
      </c>
      <c r="J51" s="145">
        <f t="shared" si="24"/>
        <v>0</v>
      </c>
      <c r="K51" s="216"/>
    </row>
    <row r="52" spans="1:11" ht="81" x14ac:dyDescent="0.25">
      <c r="A52" s="148">
        <v>1165</v>
      </c>
      <c r="B52" s="83" t="s">
        <v>713</v>
      </c>
      <c r="C52" s="79"/>
      <c r="D52" s="145">
        <f>SUM(E52:F52)</f>
        <v>0</v>
      </c>
      <c r="E52" s="145">
        <v>0</v>
      </c>
      <c r="F52" s="145" t="s">
        <v>0</v>
      </c>
      <c r="G52" s="145">
        <f t="shared" si="21"/>
        <v>0</v>
      </c>
      <c r="H52" s="145">
        <f t="shared" si="22"/>
        <v>0</v>
      </c>
      <c r="I52" s="145">
        <f t="shared" si="23"/>
        <v>0</v>
      </c>
      <c r="J52" s="145">
        <f t="shared" si="24"/>
        <v>0</v>
      </c>
      <c r="K52" s="216"/>
    </row>
    <row r="53" spans="1:11" ht="42.75" x14ac:dyDescent="0.25">
      <c r="A53" s="142">
        <v>1200</v>
      </c>
      <c r="B53" s="86" t="s">
        <v>714</v>
      </c>
      <c r="C53" s="143">
        <v>7300</v>
      </c>
      <c r="D53" s="88">
        <f t="shared" ref="D53:F53" si="25">SUM(D54,D56,D58,D60,D62,D69)</f>
        <v>5177400.3279999997</v>
      </c>
      <c r="E53" s="88">
        <f t="shared" ref="E53" si="26">SUM(E54,E56,E58,E60,E62,E69)</f>
        <v>4015490.4</v>
      </c>
      <c r="F53" s="88">
        <f t="shared" si="25"/>
        <v>1161909.9280000001</v>
      </c>
      <c r="G53" s="88">
        <f t="shared" ref="G53:J53" si="27">SUM(G54,G56,G58,G60,G62,G69)</f>
        <v>2165782.5279999999</v>
      </c>
      <c r="H53" s="88">
        <f t="shared" si="27"/>
        <v>3169655.128</v>
      </c>
      <c r="I53" s="88">
        <f t="shared" si="27"/>
        <v>4173527.7280000001</v>
      </c>
      <c r="J53" s="88">
        <f t="shared" si="27"/>
        <v>5177400.3279999997</v>
      </c>
      <c r="K53" s="216"/>
    </row>
    <row r="54" spans="1:11" ht="57" x14ac:dyDescent="0.25">
      <c r="A54" s="142">
        <v>1210</v>
      </c>
      <c r="B54" s="86" t="s">
        <v>745</v>
      </c>
      <c r="C54" s="143">
        <v>7311</v>
      </c>
      <c r="D54" s="88">
        <f>SUM(D55)</f>
        <v>0</v>
      </c>
      <c r="E54" s="88">
        <f>SUM(E55)</f>
        <v>0</v>
      </c>
      <c r="F54" s="88" t="s">
        <v>0</v>
      </c>
      <c r="G54" s="88">
        <f t="shared" ref="G54:J54" si="28">SUM(G55)</f>
        <v>0</v>
      </c>
      <c r="H54" s="88">
        <f t="shared" si="28"/>
        <v>0</v>
      </c>
      <c r="I54" s="88">
        <f t="shared" si="28"/>
        <v>0</v>
      </c>
      <c r="J54" s="88">
        <f t="shared" si="28"/>
        <v>0</v>
      </c>
      <c r="K54" s="216"/>
    </row>
    <row r="55" spans="1:11" s="208" customFormat="1" ht="81" x14ac:dyDescent="0.25">
      <c r="A55" s="146">
        <v>1211</v>
      </c>
      <c r="B55" s="83" t="s">
        <v>746</v>
      </c>
      <c r="C55" s="85"/>
      <c r="D55" s="145">
        <f>SUM(E55:F55)</f>
        <v>0</v>
      </c>
      <c r="E55" s="145">
        <v>0</v>
      </c>
      <c r="F55" s="145" t="s">
        <v>0</v>
      </c>
      <c r="G55" s="145">
        <f>+D55/4</f>
        <v>0</v>
      </c>
      <c r="H55" s="145">
        <f>+D55/4*2</f>
        <v>0</v>
      </c>
      <c r="I55" s="145">
        <f>+D55/4*3</f>
        <v>0</v>
      </c>
      <c r="J55" s="145">
        <f>+D55</f>
        <v>0</v>
      </c>
      <c r="K55" s="216"/>
    </row>
    <row r="56" spans="1:11" s="208" customFormat="1" ht="42.75" x14ac:dyDescent="0.25">
      <c r="A56" s="142">
        <v>1220</v>
      </c>
      <c r="B56" s="86" t="s">
        <v>715</v>
      </c>
      <c r="C56" s="87">
        <v>7312</v>
      </c>
      <c r="D56" s="88">
        <f>SUM(D57)</f>
        <v>0</v>
      </c>
      <c r="E56" s="88" t="s">
        <v>0</v>
      </c>
      <c r="F56" s="88">
        <f>SUM(F57)</f>
        <v>0</v>
      </c>
      <c r="G56" s="88">
        <f>SUM(G57)</f>
        <v>0</v>
      </c>
      <c r="H56" s="88">
        <f>SUM(H57)</f>
        <v>0</v>
      </c>
      <c r="I56" s="88">
        <f>SUM(I57)</f>
        <v>0</v>
      </c>
      <c r="J56" s="88">
        <f>SUM(J57)</f>
        <v>0</v>
      </c>
      <c r="K56" s="216"/>
    </row>
    <row r="57" spans="1:11" ht="81" x14ac:dyDescent="0.25">
      <c r="A57" s="79">
        <v>1221</v>
      </c>
      <c r="B57" s="83" t="s">
        <v>747</v>
      </c>
      <c r="C57" s="85"/>
      <c r="D57" s="145">
        <f>SUM(E57:F57)</f>
        <v>0</v>
      </c>
      <c r="E57" s="145" t="s">
        <v>0</v>
      </c>
      <c r="F57" s="145">
        <v>0</v>
      </c>
      <c r="G57" s="145">
        <f>+D57/4</f>
        <v>0</v>
      </c>
      <c r="H57" s="145">
        <f>+D57/4*2</f>
        <v>0</v>
      </c>
      <c r="I57" s="145">
        <f>+D57/4*3</f>
        <v>0</v>
      </c>
      <c r="J57" s="145">
        <f>+D57</f>
        <v>0</v>
      </c>
      <c r="K57" s="216"/>
    </row>
    <row r="58" spans="1:11" s="208" customFormat="1" ht="42.75" x14ac:dyDescent="0.25">
      <c r="A58" s="142">
        <v>1230</v>
      </c>
      <c r="B58" s="86" t="s">
        <v>716</v>
      </c>
      <c r="C58" s="87">
        <v>7321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  <c r="K58" s="216"/>
    </row>
    <row r="59" spans="1:11" ht="54" x14ac:dyDescent="0.25">
      <c r="A59" s="146">
        <v>1231</v>
      </c>
      <c r="B59" s="83" t="s">
        <v>843</v>
      </c>
      <c r="C59" s="85"/>
      <c r="D59" s="145">
        <f>SUM(E59:F59)</f>
        <v>0</v>
      </c>
      <c r="E59" s="145"/>
      <c r="F59" s="145" t="s">
        <v>0</v>
      </c>
      <c r="G59" s="145"/>
      <c r="H59" s="145"/>
      <c r="I59" s="145"/>
      <c r="J59" s="145">
        <f>+D59</f>
        <v>0</v>
      </c>
      <c r="K59" s="216"/>
    </row>
    <row r="60" spans="1:11" s="208" customFormat="1" ht="42.75" x14ac:dyDescent="0.25">
      <c r="A60" s="142">
        <v>1240</v>
      </c>
      <c r="B60" s="86" t="s">
        <v>717</v>
      </c>
      <c r="C60" s="87">
        <v>7322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  <c r="K60" s="216"/>
    </row>
    <row r="61" spans="1:11" ht="54" x14ac:dyDescent="0.25">
      <c r="A61" s="146">
        <v>1241</v>
      </c>
      <c r="B61" s="83" t="s">
        <v>844</v>
      </c>
      <c r="C61" s="85"/>
      <c r="D61" s="145">
        <f>SUM(E61:F61)</f>
        <v>0</v>
      </c>
      <c r="E61" s="145" t="s">
        <v>0</v>
      </c>
      <c r="F61" s="145">
        <v>0</v>
      </c>
      <c r="G61" s="145">
        <f>+D61/4</f>
        <v>0</v>
      </c>
      <c r="H61" s="145">
        <f>+D61/4*2</f>
        <v>0</v>
      </c>
      <c r="I61" s="145">
        <f>+D61/4*3</f>
        <v>0</v>
      </c>
      <c r="J61" s="145">
        <f>+D61</f>
        <v>0</v>
      </c>
      <c r="K61" s="216"/>
    </row>
    <row r="62" spans="1:11" s="208" customFormat="1" ht="57" x14ac:dyDescent="0.25">
      <c r="A62" s="142">
        <v>1250</v>
      </c>
      <c r="B62" s="86" t="s">
        <v>718</v>
      </c>
      <c r="C62" s="143">
        <v>7331</v>
      </c>
      <c r="D62" s="88">
        <f>SUM(D63,D64,D67,D68)</f>
        <v>4015490.4</v>
      </c>
      <c r="E62" s="88">
        <f>SUM(E63,E64,E67,E68)</f>
        <v>4015490.4</v>
      </c>
      <c r="F62" s="88" t="s">
        <v>0</v>
      </c>
      <c r="G62" s="88">
        <f>SUM(G63,G64,G67,G68)</f>
        <v>1003872.6</v>
      </c>
      <c r="H62" s="88">
        <f>SUM(H63,H64,H67,H68)</f>
        <v>2007745.2</v>
      </c>
      <c r="I62" s="88">
        <f>SUM(I63,I64,I67,I68)</f>
        <v>3011617.8</v>
      </c>
      <c r="J62" s="88">
        <f>SUM(J63,J64,J67,J68)</f>
        <v>4015490.4</v>
      </c>
      <c r="K62" s="216"/>
    </row>
    <row r="63" spans="1:11" ht="40.5" x14ac:dyDescent="0.25">
      <c r="A63" s="146">
        <v>1251</v>
      </c>
      <c r="B63" s="83" t="s">
        <v>845</v>
      </c>
      <c r="C63" s="79"/>
      <c r="D63" s="145">
        <f>+E63</f>
        <v>4015490.4</v>
      </c>
      <c r="E63" s="145">
        <v>4015490.4</v>
      </c>
      <c r="F63" s="145" t="s">
        <v>0</v>
      </c>
      <c r="G63" s="145">
        <f>+D63/4</f>
        <v>1003872.6</v>
      </c>
      <c r="H63" s="145">
        <f>+D63/4*2</f>
        <v>2007745.2</v>
      </c>
      <c r="I63" s="145">
        <f>+D63/4*3</f>
        <v>3011617.8</v>
      </c>
      <c r="J63" s="145">
        <f>+D63</f>
        <v>4015490.4</v>
      </c>
      <c r="K63" s="216"/>
    </row>
    <row r="64" spans="1:11" s="208" customFormat="1" ht="27" x14ac:dyDescent="0.25">
      <c r="A64" s="146">
        <v>1254</v>
      </c>
      <c r="B64" s="83" t="s">
        <v>719</v>
      </c>
      <c r="C64" s="85"/>
      <c r="D64" s="145">
        <f>SUM(D65:D66)</f>
        <v>0</v>
      </c>
      <c r="E64" s="145">
        <f>SUM(E65:E66)</f>
        <v>0</v>
      </c>
      <c r="F64" s="145" t="s">
        <v>0</v>
      </c>
      <c r="G64" s="145">
        <f>SUM(G65:G66)</f>
        <v>0</v>
      </c>
      <c r="H64" s="145">
        <f>SUM(H65:H66)</f>
        <v>0</v>
      </c>
      <c r="I64" s="145">
        <f>SUM(I65:I66)</f>
        <v>0</v>
      </c>
      <c r="J64" s="145">
        <f>SUM(J65:J66)</f>
        <v>0</v>
      </c>
      <c r="K64" s="216"/>
    </row>
    <row r="65" spans="1:11" ht="67.5" x14ac:dyDescent="0.25">
      <c r="A65" s="146">
        <v>1255</v>
      </c>
      <c r="B65" s="83" t="s">
        <v>846</v>
      </c>
      <c r="C65" s="79"/>
      <c r="D65" s="145">
        <f>SUM(E65:F65)</f>
        <v>0</v>
      </c>
      <c r="E65" s="145">
        <v>0</v>
      </c>
      <c r="F65" s="145" t="s">
        <v>0</v>
      </c>
      <c r="G65" s="145">
        <f>+D65/4</f>
        <v>0</v>
      </c>
      <c r="H65" s="145">
        <f>+D65/4*2</f>
        <v>0</v>
      </c>
      <c r="I65" s="145">
        <f>+D65/4*3</f>
        <v>0</v>
      </c>
      <c r="J65" s="145">
        <f>+D65</f>
        <v>0</v>
      </c>
      <c r="K65" s="216"/>
    </row>
    <row r="66" spans="1:11" x14ac:dyDescent="0.25">
      <c r="A66" s="146">
        <v>1256</v>
      </c>
      <c r="B66" s="89" t="s">
        <v>720</v>
      </c>
      <c r="C66" s="79"/>
      <c r="D66" s="145">
        <f>SUM(E66:F66)</f>
        <v>0</v>
      </c>
      <c r="E66" s="145">
        <v>0</v>
      </c>
      <c r="F66" s="145" t="s">
        <v>0</v>
      </c>
      <c r="G66" s="145">
        <f>+D66/4</f>
        <v>0</v>
      </c>
      <c r="H66" s="145">
        <f>+D66/4*2</f>
        <v>0</v>
      </c>
      <c r="I66" s="145">
        <f>+D66/4*3</f>
        <v>0</v>
      </c>
      <c r="J66" s="145">
        <f>+D66</f>
        <v>0</v>
      </c>
      <c r="K66" s="216"/>
    </row>
    <row r="67" spans="1:11" ht="27" x14ac:dyDescent="0.25">
      <c r="A67" s="146">
        <v>1257</v>
      </c>
      <c r="B67" s="83" t="s">
        <v>721</v>
      </c>
      <c r="C67" s="85"/>
      <c r="D67" s="145">
        <f>SUM(E67:F67)</f>
        <v>0</v>
      </c>
      <c r="E67" s="145">
        <v>0</v>
      </c>
      <c r="F67" s="145" t="s">
        <v>0</v>
      </c>
      <c r="G67" s="145">
        <f>+D67/4</f>
        <v>0</v>
      </c>
      <c r="H67" s="145">
        <f>+D67/4*2</f>
        <v>0</v>
      </c>
      <c r="I67" s="145">
        <f>+D67/4*3</f>
        <v>0</v>
      </c>
      <c r="J67" s="145">
        <f>+D67</f>
        <v>0</v>
      </c>
      <c r="K67" s="216"/>
    </row>
    <row r="68" spans="1:11" ht="40.5" x14ac:dyDescent="0.25">
      <c r="A68" s="146">
        <v>1258</v>
      </c>
      <c r="B68" s="83" t="s">
        <v>722</v>
      </c>
      <c r="C68" s="85"/>
      <c r="D68" s="145">
        <f>SUM(E68:F68)</f>
        <v>0</v>
      </c>
      <c r="E68" s="145">
        <v>0</v>
      </c>
      <c r="F68" s="145" t="s">
        <v>0</v>
      </c>
      <c r="G68" s="145">
        <f>+D68/4</f>
        <v>0</v>
      </c>
      <c r="H68" s="145">
        <f>+D68/4*2</f>
        <v>0</v>
      </c>
      <c r="I68" s="145">
        <f>+D68/4*3</f>
        <v>0</v>
      </c>
      <c r="J68" s="145">
        <f>+D68</f>
        <v>0</v>
      </c>
      <c r="K68" s="216"/>
    </row>
    <row r="69" spans="1:11" ht="42.75" x14ac:dyDescent="0.25">
      <c r="A69" s="142">
        <v>1260</v>
      </c>
      <c r="B69" s="86" t="s">
        <v>723</v>
      </c>
      <c r="C69" s="143">
        <v>7332</v>
      </c>
      <c r="D69" s="88">
        <f>SUM(D70:D71)</f>
        <v>1161909.9280000001</v>
      </c>
      <c r="E69" s="88" t="s">
        <v>0</v>
      </c>
      <c r="F69" s="88">
        <f>SUM(F70:F71)</f>
        <v>1161909.9280000001</v>
      </c>
      <c r="G69" s="82">
        <f>SUM(G70:G71)</f>
        <v>1161909.9280000001</v>
      </c>
      <c r="H69" s="82">
        <f>SUM(H70:H71)</f>
        <v>1161909.9280000001</v>
      </c>
      <c r="I69" s="82">
        <f>SUM(I70:I71)</f>
        <v>1161909.9280000001</v>
      </c>
      <c r="J69" s="82">
        <f>SUM(J70:J71)</f>
        <v>1161909.9280000001</v>
      </c>
      <c r="K69" s="216"/>
    </row>
    <row r="70" spans="1:11" ht="40.5" x14ac:dyDescent="0.25">
      <c r="A70" s="146">
        <v>1261</v>
      </c>
      <c r="B70" s="83" t="s">
        <v>847</v>
      </c>
      <c r="C70" s="85"/>
      <c r="D70" s="145">
        <f>SUM(E70:F70)</f>
        <v>1161909.9280000001</v>
      </c>
      <c r="E70" s="145" t="s">
        <v>0</v>
      </c>
      <c r="F70" s="145">
        <f>11217.5+1132577.828+18114.6</f>
        <v>1161909.9280000001</v>
      </c>
      <c r="G70" s="145">
        <v>1161909.9280000001</v>
      </c>
      <c r="H70" s="145">
        <v>1161909.9280000001</v>
      </c>
      <c r="I70" s="145">
        <v>1161909.9280000001</v>
      </c>
      <c r="J70" s="145">
        <f>+D70</f>
        <v>1161909.9280000001</v>
      </c>
      <c r="K70" s="216"/>
    </row>
    <row r="71" spans="1:11" s="208" customFormat="1" ht="40.5" x14ac:dyDescent="0.25">
      <c r="A71" s="146">
        <v>1262</v>
      </c>
      <c r="B71" s="83" t="s">
        <v>724</v>
      </c>
      <c r="C71" s="85"/>
      <c r="D71" s="145">
        <f>SUM(E71:F71)</f>
        <v>0</v>
      </c>
      <c r="E71" s="145" t="s">
        <v>0</v>
      </c>
      <c r="F71" s="145">
        <v>0</v>
      </c>
      <c r="G71" s="145">
        <f>+D71/4</f>
        <v>0</v>
      </c>
      <c r="H71" s="145">
        <f>+D71/4*2</f>
        <v>0</v>
      </c>
      <c r="I71" s="145">
        <f>+D71/4*3</f>
        <v>0</v>
      </c>
      <c r="J71" s="145">
        <f>+D71</f>
        <v>0</v>
      </c>
      <c r="K71" s="216"/>
    </row>
    <row r="72" spans="1:11" ht="42.75" x14ac:dyDescent="0.25">
      <c r="A72" s="142" t="s">
        <v>607</v>
      </c>
      <c r="B72" s="86" t="s">
        <v>848</v>
      </c>
      <c r="C72" s="143">
        <v>7400</v>
      </c>
      <c r="D72" s="88">
        <f t="shared" ref="D72:J72" si="29">SUM(D73,D75,D77,D82,D86,D112,D115,D118,D121)</f>
        <v>860661.78150000004</v>
      </c>
      <c r="E72" s="88">
        <f t="shared" si="29"/>
        <v>860661.78150000004</v>
      </c>
      <c r="F72" s="88">
        <f t="shared" si="29"/>
        <v>925983</v>
      </c>
      <c r="G72" s="82">
        <f t="shared" si="29"/>
        <v>239101.9901369283</v>
      </c>
      <c r="H72" s="82">
        <f t="shared" si="29"/>
        <v>446175.22424649447</v>
      </c>
      <c r="I72" s="82">
        <f t="shared" si="29"/>
        <v>667979.56236034958</v>
      </c>
      <c r="J72" s="82">
        <f t="shared" si="29"/>
        <v>860661.78150000004</v>
      </c>
      <c r="K72" s="216"/>
    </row>
    <row r="73" spans="1:11" ht="14.25" x14ac:dyDescent="0.25">
      <c r="A73" s="142" t="s">
        <v>608</v>
      </c>
      <c r="B73" s="86" t="s">
        <v>849</v>
      </c>
      <c r="C73" s="143">
        <v>7411</v>
      </c>
      <c r="D73" s="88">
        <f>SUM(D74)</f>
        <v>0</v>
      </c>
      <c r="E73" s="88" t="s">
        <v>0</v>
      </c>
      <c r="F73" s="88">
        <f>SUM(F74)</f>
        <v>0</v>
      </c>
      <c r="G73" s="82">
        <f>SUM(G74)</f>
        <v>0</v>
      </c>
      <c r="H73" s="82">
        <f>SUM(H74)</f>
        <v>0</v>
      </c>
      <c r="I73" s="82">
        <f>SUM(I74)</f>
        <v>0</v>
      </c>
      <c r="J73" s="82">
        <f>SUM(J74)</f>
        <v>0</v>
      </c>
      <c r="K73" s="216"/>
    </row>
    <row r="74" spans="1:11" s="208" customFormat="1" ht="54" x14ac:dyDescent="0.25">
      <c r="A74" s="144" t="s">
        <v>609</v>
      </c>
      <c r="B74" s="83" t="s">
        <v>850</v>
      </c>
      <c r="C74" s="85"/>
      <c r="D74" s="145">
        <f t="shared" ref="D74:D81" si="30">SUM(E74:F74)</f>
        <v>0</v>
      </c>
      <c r="E74" s="145" t="s">
        <v>0</v>
      </c>
      <c r="F74" s="145">
        <v>0</v>
      </c>
      <c r="G74" s="145">
        <f t="shared" ref="G74" si="31">+D74/253*62</f>
        <v>0</v>
      </c>
      <c r="H74" s="145">
        <f t="shared" ref="H74" si="32">+D74/253*123</f>
        <v>0</v>
      </c>
      <c r="I74" s="145">
        <f t="shared" ref="I74" si="33">+D74/253*188</f>
        <v>0</v>
      </c>
      <c r="J74" s="145">
        <f t="shared" ref="J74" si="34">+D74</f>
        <v>0</v>
      </c>
      <c r="K74" s="216"/>
    </row>
    <row r="75" spans="1:11" s="208" customFormat="1" ht="14.25" x14ac:dyDescent="0.25">
      <c r="A75" s="142" t="s">
        <v>610</v>
      </c>
      <c r="B75" s="86" t="s">
        <v>725</v>
      </c>
      <c r="C75" s="143">
        <v>7412</v>
      </c>
      <c r="D75" s="88">
        <f>SUM(D76)</f>
        <v>0</v>
      </c>
      <c r="E75" s="88">
        <f>SUM(E76)</f>
        <v>0</v>
      </c>
      <c r="F75" s="88" t="s">
        <v>0</v>
      </c>
      <c r="G75" s="82">
        <f>SUM(G76)</f>
        <v>0</v>
      </c>
      <c r="H75" s="82">
        <f>SUM(H76)</f>
        <v>0</v>
      </c>
      <c r="I75" s="82">
        <f>SUM(I76)</f>
        <v>0</v>
      </c>
      <c r="J75" s="82">
        <f>SUM(J76)</f>
        <v>0</v>
      </c>
      <c r="K75" s="216"/>
    </row>
    <row r="76" spans="1:11" ht="54" x14ac:dyDescent="0.25">
      <c r="A76" s="144" t="s">
        <v>611</v>
      </c>
      <c r="B76" s="83" t="s">
        <v>830</v>
      </c>
      <c r="C76" s="85"/>
      <c r="D76" s="145">
        <f t="shared" si="30"/>
        <v>0</v>
      </c>
      <c r="E76" s="145">
        <v>0</v>
      </c>
      <c r="F76" s="145" t="s">
        <v>0</v>
      </c>
      <c r="G76" s="145">
        <f t="shared" ref="G76" si="35">+D76/253*62</f>
        <v>0</v>
      </c>
      <c r="H76" s="145">
        <f t="shared" ref="H76" si="36">+D76/253*123</f>
        <v>0</v>
      </c>
      <c r="I76" s="145">
        <f t="shared" ref="I76" si="37">+D76/253*188</f>
        <v>0</v>
      </c>
      <c r="J76" s="145">
        <f t="shared" ref="J76" si="38">+D76</f>
        <v>0</v>
      </c>
      <c r="K76" s="216"/>
    </row>
    <row r="77" spans="1:11" s="208" customFormat="1" ht="28.5" x14ac:dyDescent="0.25">
      <c r="A77" s="142" t="s">
        <v>612</v>
      </c>
      <c r="B77" s="86" t="s">
        <v>726</v>
      </c>
      <c r="C77" s="143">
        <v>7415</v>
      </c>
      <c r="D77" s="88">
        <f>SUM(D78:D81)</f>
        <v>156441.0815</v>
      </c>
      <c r="E77" s="88">
        <f>SUM(E78:E81)</f>
        <v>156441.0815</v>
      </c>
      <c r="F77" s="88" t="s">
        <v>0</v>
      </c>
      <c r="G77" s="82">
        <f>SUM(G78:G81)</f>
        <v>37247.876547619046</v>
      </c>
      <c r="H77" s="82">
        <f>SUM(H78:H81)</f>
        <v>75116.551037698402</v>
      </c>
      <c r="I77" s="82">
        <f>SUM(I78:I81)</f>
        <v>116089.21524007936</v>
      </c>
      <c r="J77" s="82">
        <f>SUM(J78:J81)</f>
        <v>156441.0815</v>
      </c>
      <c r="K77" s="216"/>
    </row>
    <row r="78" spans="1:11" ht="40.5" x14ac:dyDescent="0.25">
      <c r="A78" s="144" t="s">
        <v>613</v>
      </c>
      <c r="B78" s="83" t="s">
        <v>851</v>
      </c>
      <c r="C78" s="85"/>
      <c r="D78" s="145">
        <f t="shared" si="30"/>
        <v>116706.48149999999</v>
      </c>
      <c r="E78" s="145">
        <f>21101.5+34844.185+50088.92+5311.8765+5000+360</f>
        <v>116706.48149999999</v>
      </c>
      <c r="F78" s="145" t="s">
        <v>0</v>
      </c>
      <c r="G78" s="145">
        <f t="shared" ref="G78:G81" si="39">+D78/252*60</f>
        <v>27787.2575</v>
      </c>
      <c r="H78" s="145">
        <f t="shared" ref="H78:H81" si="40">+D78/252*121</f>
        <v>56037.635958333332</v>
      </c>
      <c r="I78" s="145">
        <f t="shared" ref="I78:I81" si="41">+D78/252*187</f>
        <v>86603.61920833333</v>
      </c>
      <c r="J78" s="145">
        <f t="shared" ref="J78:J81" si="42">+D78</f>
        <v>116706.48149999999</v>
      </c>
      <c r="K78" s="216"/>
    </row>
    <row r="79" spans="1:11" s="208" customFormat="1" ht="40.5" x14ac:dyDescent="0.25">
      <c r="A79" s="144" t="s">
        <v>614</v>
      </c>
      <c r="B79" s="83" t="s">
        <v>727</v>
      </c>
      <c r="C79" s="85"/>
      <c r="D79" s="145">
        <f t="shared" si="30"/>
        <v>0</v>
      </c>
      <c r="E79" s="145"/>
      <c r="F79" s="145" t="s">
        <v>0</v>
      </c>
      <c r="G79" s="145">
        <f t="shared" si="39"/>
        <v>0</v>
      </c>
      <c r="H79" s="145">
        <f t="shared" si="40"/>
        <v>0</v>
      </c>
      <c r="I79" s="145">
        <f t="shared" si="41"/>
        <v>0</v>
      </c>
      <c r="J79" s="145">
        <f t="shared" si="42"/>
        <v>0</v>
      </c>
      <c r="K79" s="216"/>
    </row>
    <row r="80" spans="1:11" ht="54" x14ac:dyDescent="0.25">
      <c r="A80" s="144" t="s">
        <v>615</v>
      </c>
      <c r="B80" s="83" t="s">
        <v>728</v>
      </c>
      <c r="C80" s="85"/>
      <c r="D80" s="145">
        <f t="shared" si="30"/>
        <v>0</v>
      </c>
      <c r="E80" s="145"/>
      <c r="F80" s="145" t="s">
        <v>0</v>
      </c>
      <c r="G80" s="145">
        <f t="shared" si="39"/>
        <v>0</v>
      </c>
      <c r="H80" s="145">
        <f t="shared" si="40"/>
        <v>0</v>
      </c>
      <c r="I80" s="145">
        <f t="shared" si="41"/>
        <v>0</v>
      </c>
      <c r="J80" s="145">
        <f t="shared" si="42"/>
        <v>0</v>
      </c>
      <c r="K80" s="216"/>
    </row>
    <row r="81" spans="1:11" x14ac:dyDescent="0.25">
      <c r="A81" s="147" t="s">
        <v>616</v>
      </c>
      <c r="B81" s="83" t="s">
        <v>729</v>
      </c>
      <c r="C81" s="85"/>
      <c r="D81" s="145">
        <f t="shared" si="30"/>
        <v>39734.6</v>
      </c>
      <c r="E81" s="145">
        <f>38509.6+1225</f>
        <v>39734.6</v>
      </c>
      <c r="F81" s="145" t="s">
        <v>0</v>
      </c>
      <c r="G81" s="145">
        <f t="shared" si="39"/>
        <v>9460.6190476190459</v>
      </c>
      <c r="H81" s="145">
        <f t="shared" si="40"/>
        <v>19078.915079365077</v>
      </c>
      <c r="I81" s="145">
        <f t="shared" si="41"/>
        <v>29485.596031746027</v>
      </c>
      <c r="J81" s="145">
        <f t="shared" si="42"/>
        <v>39734.6</v>
      </c>
      <c r="K81" s="216"/>
    </row>
    <row r="82" spans="1:11" ht="57" x14ac:dyDescent="0.25">
      <c r="A82" s="142" t="s">
        <v>617</v>
      </c>
      <c r="B82" s="86" t="s">
        <v>831</v>
      </c>
      <c r="C82" s="143">
        <v>7421</v>
      </c>
      <c r="D82" s="88">
        <f>SUM(D83:D85)</f>
        <v>0</v>
      </c>
      <c r="E82" s="88">
        <f>SUM(E83:E85)</f>
        <v>0</v>
      </c>
      <c r="F82" s="88" t="s">
        <v>0</v>
      </c>
      <c r="G82" s="82">
        <f>SUM(G83:G85)</f>
        <v>0</v>
      </c>
      <c r="H82" s="82">
        <f>SUM(H83:H85)</f>
        <v>0</v>
      </c>
      <c r="I82" s="82">
        <f>SUM(I83:I85)</f>
        <v>0</v>
      </c>
      <c r="J82" s="82">
        <f>SUM(J83:J85)</f>
        <v>0</v>
      </c>
      <c r="K82" s="216"/>
    </row>
    <row r="83" spans="1:11" ht="108" x14ac:dyDescent="0.25">
      <c r="A83" s="144" t="s">
        <v>618</v>
      </c>
      <c r="B83" s="83" t="s">
        <v>852</v>
      </c>
      <c r="C83" s="85"/>
      <c r="D83" s="145">
        <f>SUM(E83:F83)</f>
        <v>0</v>
      </c>
      <c r="E83" s="145">
        <v>0</v>
      </c>
      <c r="F83" s="145" t="s">
        <v>0</v>
      </c>
      <c r="G83" s="145">
        <f t="shared" ref="G83:G85" si="43">+D83/253*62</f>
        <v>0</v>
      </c>
      <c r="H83" s="145">
        <f t="shared" ref="H83:H85" si="44">+D83/253*123</f>
        <v>0</v>
      </c>
      <c r="I83" s="145">
        <f t="shared" ref="I83:I85" si="45">+D83/253*188</f>
        <v>0</v>
      </c>
      <c r="J83" s="145">
        <f t="shared" ref="J83:J85" si="46">+D83</f>
        <v>0</v>
      </c>
      <c r="K83" s="216"/>
    </row>
    <row r="84" spans="1:11" s="208" customFormat="1" ht="67.5" x14ac:dyDescent="0.25">
      <c r="A84" s="144" t="s">
        <v>619</v>
      </c>
      <c r="B84" s="83" t="s">
        <v>730</v>
      </c>
      <c r="C84" s="79"/>
      <c r="D84" s="145">
        <f>SUM(E84:F84)</f>
        <v>0</v>
      </c>
      <c r="E84" s="145"/>
      <c r="F84" s="145" t="s">
        <v>0</v>
      </c>
      <c r="G84" s="145">
        <f t="shared" si="43"/>
        <v>0</v>
      </c>
      <c r="H84" s="145">
        <f t="shared" si="44"/>
        <v>0</v>
      </c>
      <c r="I84" s="145">
        <f t="shared" si="45"/>
        <v>0</v>
      </c>
      <c r="J84" s="145">
        <f t="shared" si="46"/>
        <v>0</v>
      </c>
      <c r="K84" s="216"/>
    </row>
    <row r="85" spans="1:11" ht="67.5" x14ac:dyDescent="0.25">
      <c r="A85" s="147" t="s">
        <v>654</v>
      </c>
      <c r="B85" s="89" t="s">
        <v>731</v>
      </c>
      <c r="C85" s="79"/>
      <c r="D85" s="145">
        <f>SUM(E85:F85)</f>
        <v>0</v>
      </c>
      <c r="E85" s="145"/>
      <c r="F85" s="145" t="s">
        <v>0</v>
      </c>
      <c r="G85" s="145">
        <f t="shared" si="43"/>
        <v>0</v>
      </c>
      <c r="H85" s="145">
        <f t="shared" si="44"/>
        <v>0</v>
      </c>
      <c r="I85" s="145">
        <f t="shared" si="45"/>
        <v>0</v>
      </c>
      <c r="J85" s="145">
        <f t="shared" si="46"/>
        <v>0</v>
      </c>
      <c r="K85" s="216"/>
    </row>
    <row r="86" spans="1:11" s="208" customFormat="1" ht="28.5" x14ac:dyDescent="0.25">
      <c r="A86" s="142" t="s">
        <v>620</v>
      </c>
      <c r="B86" s="86" t="s">
        <v>732</v>
      </c>
      <c r="C86" s="143">
        <v>7422</v>
      </c>
      <c r="D86" s="88">
        <f>D87+D110+D111</f>
        <v>558287</v>
      </c>
      <c r="E86" s="88">
        <f>E87+E110+E111</f>
        <v>558287</v>
      </c>
      <c r="F86" s="88" t="s">
        <v>0</v>
      </c>
      <c r="G86" s="82">
        <f>G87+G110+G111</f>
        <v>133298.47073216637</v>
      </c>
      <c r="H86" s="82">
        <f>H87+H110+H111</f>
        <v>268388.12678022461</v>
      </c>
      <c r="I86" s="82">
        <f>I87+I110+I111</f>
        <v>422308.59354884177</v>
      </c>
      <c r="J86" s="82">
        <f>J87+J110+J111</f>
        <v>558287</v>
      </c>
      <c r="K86" s="216"/>
    </row>
    <row r="87" spans="1:11" s="208" customFormat="1" ht="14.25" x14ac:dyDescent="0.25">
      <c r="A87" s="144" t="s">
        <v>621</v>
      </c>
      <c r="B87" s="83" t="s">
        <v>853</v>
      </c>
      <c r="C87" s="86"/>
      <c r="D87" s="145">
        <f>SUM(D89,D90,D91,D92,D93,D94,D95,D99,D100,D101,D102,D103,D104,D105,D106,D107,D108,D109)</f>
        <v>504787</v>
      </c>
      <c r="E87" s="145">
        <f>SUM(E89,E90,E91,E92,E93,E94,E95,E99,E100,E101,E102,E103,E104,E105,E106,E107,E108,E109)</f>
        <v>504787</v>
      </c>
      <c r="F87" s="145" t="s">
        <v>0</v>
      </c>
      <c r="G87" s="145">
        <f t="shared" ref="G87:J87" si="47">SUM(G89,G90,G91,G92,G93,G94,G95,G99,G100,G101,G102,G103,G104,G105,G106,G107,G108,G109)</f>
        <v>120187.79879540749</v>
      </c>
      <c r="H87" s="145">
        <f t="shared" si="47"/>
        <v>242378.24535729969</v>
      </c>
      <c r="I87" s="145">
        <f t="shared" si="47"/>
        <v>382553.65283737931</v>
      </c>
      <c r="J87" s="145">
        <f t="shared" si="47"/>
        <v>504787</v>
      </c>
      <c r="K87" s="216"/>
    </row>
    <row r="88" spans="1:11" s="208" customFormat="1" ht="14.25" x14ac:dyDescent="0.25">
      <c r="A88" s="144"/>
      <c r="B88" s="83" t="s">
        <v>375</v>
      </c>
      <c r="C88" s="86"/>
      <c r="D88" s="145"/>
      <c r="E88" s="145"/>
      <c r="F88" s="145"/>
      <c r="G88" s="145"/>
      <c r="H88" s="145"/>
      <c r="I88" s="145"/>
      <c r="J88" s="145"/>
      <c r="K88" s="216"/>
    </row>
    <row r="89" spans="1:11" s="208" customFormat="1" ht="67.5" x14ac:dyDescent="0.25">
      <c r="A89" s="144" t="s">
        <v>655</v>
      </c>
      <c r="B89" s="83" t="s">
        <v>656</v>
      </c>
      <c r="C89" s="79"/>
      <c r="D89" s="145">
        <f t="shared" ref="D89:D94" si="48">E89</f>
        <v>1000</v>
      </c>
      <c r="E89" s="145">
        <v>1000</v>
      </c>
      <c r="F89" s="145" t="s">
        <v>0</v>
      </c>
      <c r="G89" s="145">
        <f t="shared" ref="G89:G90" si="49">+D89/252*60</f>
        <v>238.0952380952381</v>
      </c>
      <c r="H89" s="145">
        <f t="shared" ref="H89:H90" si="50">+D89/252*121</f>
        <v>480.15873015873018</v>
      </c>
      <c r="I89" s="145">
        <f t="shared" ref="I89:I90" si="51">+D89/252*187</f>
        <v>742.06349206349205</v>
      </c>
      <c r="J89" s="145">
        <f t="shared" ref="J89:J94" si="52">+D89</f>
        <v>1000</v>
      </c>
      <c r="K89" s="216"/>
    </row>
    <row r="90" spans="1:11" s="208" customFormat="1" ht="121.5" x14ac:dyDescent="0.25">
      <c r="A90" s="144" t="s">
        <v>657</v>
      </c>
      <c r="B90" s="83" t="s">
        <v>658</v>
      </c>
      <c r="C90" s="79"/>
      <c r="D90" s="145">
        <f t="shared" si="48"/>
        <v>960</v>
      </c>
      <c r="E90" s="145">
        <v>960</v>
      </c>
      <c r="F90" s="145" t="s">
        <v>0</v>
      </c>
      <c r="G90" s="145">
        <f t="shared" si="49"/>
        <v>228.57142857142856</v>
      </c>
      <c r="H90" s="145">
        <f t="shared" si="50"/>
        <v>460.95238095238091</v>
      </c>
      <c r="I90" s="145">
        <f t="shared" si="51"/>
        <v>712.38095238095229</v>
      </c>
      <c r="J90" s="145">
        <f t="shared" si="52"/>
        <v>960</v>
      </c>
      <c r="K90" s="216"/>
    </row>
    <row r="91" spans="1:11" s="208" customFormat="1" ht="54" x14ac:dyDescent="0.25">
      <c r="A91" s="144" t="s">
        <v>659</v>
      </c>
      <c r="B91" s="83" t="s">
        <v>660</v>
      </c>
      <c r="C91" s="79"/>
      <c r="D91" s="145">
        <f t="shared" si="48"/>
        <v>0</v>
      </c>
      <c r="E91" s="145"/>
      <c r="F91" s="145" t="s">
        <v>0</v>
      </c>
      <c r="G91" s="145">
        <f t="shared" ref="G91" si="53">+D91/253*62</f>
        <v>0</v>
      </c>
      <c r="H91" s="145">
        <f t="shared" ref="H91" si="54">+D91/253*123</f>
        <v>0</v>
      </c>
      <c r="I91" s="145">
        <f t="shared" ref="I91" si="55">+D91/253*188</f>
        <v>0</v>
      </c>
      <c r="J91" s="145">
        <f t="shared" si="52"/>
        <v>0</v>
      </c>
      <c r="K91" s="216"/>
    </row>
    <row r="92" spans="1:11" s="208" customFormat="1" ht="67.5" x14ac:dyDescent="0.25">
      <c r="A92" s="144" t="s">
        <v>661</v>
      </c>
      <c r="B92" s="83" t="s">
        <v>662</v>
      </c>
      <c r="C92" s="79"/>
      <c r="D92" s="145">
        <f t="shared" si="48"/>
        <v>675</v>
      </c>
      <c r="E92" s="145">
        <v>675</v>
      </c>
      <c r="F92" s="145" t="s">
        <v>0</v>
      </c>
      <c r="G92" s="145">
        <f t="shared" ref="G92:G94" si="56">+D92/252*60</f>
        <v>160.71428571428569</v>
      </c>
      <c r="H92" s="145">
        <f t="shared" ref="H92:H94" si="57">+D92/252*121</f>
        <v>324.10714285714283</v>
      </c>
      <c r="I92" s="145">
        <f t="shared" ref="I92:I94" si="58">+D92/252*187</f>
        <v>500.89285714285711</v>
      </c>
      <c r="J92" s="145">
        <f t="shared" si="52"/>
        <v>675</v>
      </c>
      <c r="K92" s="216"/>
    </row>
    <row r="93" spans="1:11" s="208" customFormat="1" ht="27" x14ac:dyDescent="0.25">
      <c r="A93" s="144" t="s">
        <v>663</v>
      </c>
      <c r="B93" s="83" t="s">
        <v>664</v>
      </c>
      <c r="C93" s="79"/>
      <c r="D93" s="145">
        <f t="shared" si="48"/>
        <v>3600</v>
      </c>
      <c r="E93" s="145">
        <v>3600</v>
      </c>
      <c r="F93" s="145" t="s">
        <v>0</v>
      </c>
      <c r="G93" s="145">
        <f t="shared" si="56"/>
        <v>857.14285714285722</v>
      </c>
      <c r="H93" s="145">
        <f t="shared" si="57"/>
        <v>1728.5714285714287</v>
      </c>
      <c r="I93" s="145">
        <f t="shared" si="58"/>
        <v>2671.4285714285716</v>
      </c>
      <c r="J93" s="145">
        <f t="shared" si="52"/>
        <v>3600</v>
      </c>
      <c r="K93" s="216"/>
    </row>
    <row r="94" spans="1:11" s="208" customFormat="1" ht="40.5" x14ac:dyDescent="0.25">
      <c r="A94" s="144" t="s">
        <v>665</v>
      </c>
      <c r="B94" s="83" t="s">
        <v>666</v>
      </c>
      <c r="C94" s="79"/>
      <c r="D94" s="145">
        <f t="shared" si="48"/>
        <v>20</v>
      </c>
      <c r="E94" s="145">
        <v>20</v>
      </c>
      <c r="F94" s="145" t="s">
        <v>0</v>
      </c>
      <c r="G94" s="145">
        <f t="shared" si="56"/>
        <v>4.7619047619047619</v>
      </c>
      <c r="H94" s="145">
        <f t="shared" si="57"/>
        <v>9.6031746031746028</v>
      </c>
      <c r="I94" s="145">
        <f t="shared" si="58"/>
        <v>14.84126984126984</v>
      </c>
      <c r="J94" s="145">
        <f t="shared" si="52"/>
        <v>20</v>
      </c>
      <c r="K94" s="216"/>
    </row>
    <row r="95" spans="1:11" s="208" customFormat="1" ht="14.25" x14ac:dyDescent="0.25">
      <c r="A95" s="144" t="s">
        <v>667</v>
      </c>
      <c r="B95" s="86" t="s">
        <v>668</v>
      </c>
      <c r="C95" s="79"/>
      <c r="D95" s="145">
        <f>SUM(D96:D98)</f>
        <v>260300</v>
      </c>
      <c r="E95" s="145">
        <f>SUM(E96:E98)</f>
        <v>260300</v>
      </c>
      <c r="F95" s="145" t="s">
        <v>0</v>
      </c>
      <c r="G95" s="145">
        <f t="shared" ref="G95:J95" si="59">SUM(G96:G98)</f>
        <v>61976.190476190473</v>
      </c>
      <c r="H95" s="145">
        <f t="shared" si="59"/>
        <v>124985.31746031746</v>
      </c>
      <c r="I95" s="145">
        <f t="shared" si="59"/>
        <v>193159.12698412698</v>
      </c>
      <c r="J95" s="145">
        <f t="shared" si="59"/>
        <v>260300</v>
      </c>
      <c r="K95" s="216"/>
    </row>
    <row r="96" spans="1:11" s="208" customFormat="1" ht="40.5" x14ac:dyDescent="0.25">
      <c r="A96" s="144"/>
      <c r="B96" s="83" t="s">
        <v>669</v>
      </c>
      <c r="C96" s="79"/>
      <c r="D96" s="145">
        <f t="shared" ref="D96:D110" si="60">E96</f>
        <v>147700</v>
      </c>
      <c r="E96" s="145">
        <f>9000+138700</f>
        <v>147700</v>
      </c>
      <c r="F96" s="145" t="s">
        <v>0</v>
      </c>
      <c r="G96" s="145">
        <f t="shared" ref="G96:G98" si="61">+D96/252*60</f>
        <v>35166.666666666664</v>
      </c>
      <c r="H96" s="145">
        <f t="shared" ref="H96:H98" si="62">+D96/252*121</f>
        <v>70919.444444444438</v>
      </c>
      <c r="I96" s="145">
        <f t="shared" ref="I96:I98" si="63">+D96/252*187</f>
        <v>109602.77777777777</v>
      </c>
      <c r="J96" s="145">
        <f t="shared" ref="J96:J111" si="64">+D96</f>
        <v>147700</v>
      </c>
      <c r="K96" s="216"/>
    </row>
    <row r="97" spans="1:11" s="208" customFormat="1" ht="54" x14ac:dyDescent="0.25">
      <c r="A97" s="144"/>
      <c r="B97" s="83" t="s">
        <v>670</v>
      </c>
      <c r="C97" s="79"/>
      <c r="D97" s="145">
        <f t="shared" si="60"/>
        <v>106600</v>
      </c>
      <c r="E97" s="145">
        <f>10000+96600</f>
        <v>106600</v>
      </c>
      <c r="F97" s="145" t="s">
        <v>0</v>
      </c>
      <c r="G97" s="145">
        <f t="shared" si="61"/>
        <v>25380.952380952382</v>
      </c>
      <c r="H97" s="145">
        <f t="shared" si="62"/>
        <v>51184.920634920636</v>
      </c>
      <c r="I97" s="145">
        <f t="shared" si="63"/>
        <v>79103.968253968254</v>
      </c>
      <c r="J97" s="145">
        <f t="shared" si="64"/>
        <v>106600</v>
      </c>
      <c r="K97" s="216"/>
    </row>
    <row r="98" spans="1:11" s="208" customFormat="1" ht="14.25" x14ac:dyDescent="0.25">
      <c r="A98" s="144"/>
      <c r="B98" s="83" t="s">
        <v>671</v>
      </c>
      <c r="C98" s="79"/>
      <c r="D98" s="145">
        <f t="shared" si="60"/>
        <v>6000</v>
      </c>
      <c r="E98" s="145">
        <v>6000</v>
      </c>
      <c r="F98" s="145" t="s">
        <v>0</v>
      </c>
      <c r="G98" s="145">
        <f t="shared" si="61"/>
        <v>1428.5714285714287</v>
      </c>
      <c r="H98" s="145">
        <f t="shared" si="62"/>
        <v>2880.9523809523812</v>
      </c>
      <c r="I98" s="145">
        <f t="shared" si="63"/>
        <v>4452.3809523809523</v>
      </c>
      <c r="J98" s="145">
        <f t="shared" si="64"/>
        <v>6000</v>
      </c>
      <c r="K98" s="216"/>
    </row>
    <row r="99" spans="1:11" s="208" customFormat="1" ht="81" x14ac:dyDescent="0.25">
      <c r="A99" s="144" t="s">
        <v>672</v>
      </c>
      <c r="B99" s="83" t="s">
        <v>673</v>
      </c>
      <c r="C99" s="79"/>
      <c r="D99" s="145">
        <f t="shared" si="60"/>
        <v>0</v>
      </c>
      <c r="E99" s="145">
        <v>0</v>
      </c>
      <c r="F99" s="145" t="s">
        <v>0</v>
      </c>
      <c r="G99" s="145">
        <f t="shared" ref="G99:G111" si="65">+D99/253*62</f>
        <v>0</v>
      </c>
      <c r="H99" s="145">
        <f t="shared" ref="H99:H111" si="66">+D99/253*123</f>
        <v>0</v>
      </c>
      <c r="I99" s="145">
        <f t="shared" ref="I99:I111" si="67">+D99/253*188</f>
        <v>0</v>
      </c>
      <c r="J99" s="145">
        <f t="shared" si="64"/>
        <v>0</v>
      </c>
      <c r="K99" s="216"/>
    </row>
    <row r="100" spans="1:11" s="208" customFormat="1" ht="54" x14ac:dyDescent="0.25">
      <c r="A100" s="144" t="s">
        <v>674</v>
      </c>
      <c r="B100" s="83" t="s">
        <v>675</v>
      </c>
      <c r="C100" s="79"/>
      <c r="D100" s="145">
        <f t="shared" si="60"/>
        <v>0</v>
      </c>
      <c r="E100" s="145">
        <v>0</v>
      </c>
      <c r="F100" s="145" t="s">
        <v>0</v>
      </c>
      <c r="G100" s="145">
        <f t="shared" si="65"/>
        <v>0</v>
      </c>
      <c r="H100" s="145">
        <f t="shared" si="66"/>
        <v>0</v>
      </c>
      <c r="I100" s="145">
        <f t="shared" si="67"/>
        <v>0</v>
      </c>
      <c r="J100" s="145">
        <f t="shared" si="64"/>
        <v>0</v>
      </c>
      <c r="K100" s="216"/>
    </row>
    <row r="101" spans="1:11" s="208" customFormat="1" ht="67.5" x14ac:dyDescent="0.25">
      <c r="A101" s="144" t="s">
        <v>676</v>
      </c>
      <c r="B101" s="83" t="s">
        <v>677</v>
      </c>
      <c r="C101" s="79"/>
      <c r="D101" s="145">
        <f t="shared" si="60"/>
        <v>0</v>
      </c>
      <c r="E101" s="145">
        <v>0</v>
      </c>
      <c r="F101" s="145" t="s">
        <v>0</v>
      </c>
      <c r="G101" s="145">
        <f t="shared" si="65"/>
        <v>0</v>
      </c>
      <c r="H101" s="145">
        <f t="shared" si="66"/>
        <v>0</v>
      </c>
      <c r="I101" s="145">
        <f t="shared" si="67"/>
        <v>0</v>
      </c>
      <c r="J101" s="145">
        <f t="shared" si="64"/>
        <v>0</v>
      </c>
      <c r="K101" s="216"/>
    </row>
    <row r="102" spans="1:11" s="208" customFormat="1" ht="148.5" x14ac:dyDescent="0.25">
      <c r="A102" s="144" t="s">
        <v>678</v>
      </c>
      <c r="B102" s="83" t="s">
        <v>733</v>
      </c>
      <c r="C102" s="79"/>
      <c r="D102" s="145">
        <f t="shared" si="60"/>
        <v>0</v>
      </c>
      <c r="E102" s="145">
        <v>0</v>
      </c>
      <c r="F102" s="145" t="s">
        <v>0</v>
      </c>
      <c r="G102" s="145">
        <f t="shared" si="65"/>
        <v>0</v>
      </c>
      <c r="H102" s="145">
        <f t="shared" si="66"/>
        <v>0</v>
      </c>
      <c r="I102" s="145">
        <f t="shared" si="67"/>
        <v>0</v>
      </c>
      <c r="J102" s="145">
        <f t="shared" si="64"/>
        <v>0</v>
      </c>
      <c r="K102" s="216"/>
    </row>
    <row r="103" spans="1:11" s="208" customFormat="1" ht="54" x14ac:dyDescent="0.25">
      <c r="A103" s="144" t="s">
        <v>679</v>
      </c>
      <c r="B103" s="83" t="s">
        <v>680</v>
      </c>
      <c r="C103" s="79"/>
      <c r="D103" s="145">
        <f t="shared" si="60"/>
        <v>0</v>
      </c>
      <c r="E103" s="145">
        <v>0</v>
      </c>
      <c r="F103" s="145" t="s">
        <v>0</v>
      </c>
      <c r="G103" s="145">
        <f t="shared" si="65"/>
        <v>0</v>
      </c>
      <c r="H103" s="145">
        <f t="shared" si="66"/>
        <v>0</v>
      </c>
      <c r="I103" s="145">
        <f t="shared" si="67"/>
        <v>0</v>
      </c>
      <c r="J103" s="145">
        <f t="shared" si="64"/>
        <v>0</v>
      </c>
      <c r="K103" s="216"/>
    </row>
    <row r="104" spans="1:11" s="208" customFormat="1" ht="67.5" x14ac:dyDescent="0.25">
      <c r="A104" s="144" t="s">
        <v>681</v>
      </c>
      <c r="B104" s="83" t="s">
        <v>682</v>
      </c>
      <c r="C104" s="79"/>
      <c r="D104" s="145">
        <f t="shared" si="60"/>
        <v>120672</v>
      </c>
      <c r="E104" s="145">
        <v>120672</v>
      </c>
      <c r="F104" s="145" t="s">
        <v>0</v>
      </c>
      <c r="G104" s="145">
        <f t="shared" ref="G104:G107" si="68">+D104/252*60</f>
        <v>28731.428571428569</v>
      </c>
      <c r="H104" s="145">
        <f t="shared" ref="H104:H107" si="69">+D104/252*121</f>
        <v>57941.714285714283</v>
      </c>
      <c r="I104" s="145">
        <v>100546.285714285</v>
      </c>
      <c r="J104" s="145">
        <f t="shared" si="64"/>
        <v>120672</v>
      </c>
      <c r="K104" s="216"/>
    </row>
    <row r="105" spans="1:11" s="208" customFormat="1" ht="94.5" x14ac:dyDescent="0.25">
      <c r="A105" s="144" t="s">
        <v>683</v>
      </c>
      <c r="B105" s="83" t="s">
        <v>684</v>
      </c>
      <c r="C105" s="79"/>
      <c r="D105" s="145">
        <f t="shared" si="60"/>
        <v>92300</v>
      </c>
      <c r="E105" s="145">
        <f>41284.1+51015.9</f>
        <v>92300</v>
      </c>
      <c r="F105" s="145" t="s">
        <v>0</v>
      </c>
      <c r="G105" s="145">
        <f t="shared" si="68"/>
        <v>21976.190476190477</v>
      </c>
      <c r="H105" s="145">
        <f t="shared" si="69"/>
        <v>44318.650793650791</v>
      </c>
      <c r="I105" s="145">
        <v>65462.048015872999</v>
      </c>
      <c r="J105" s="145">
        <f t="shared" si="64"/>
        <v>92300</v>
      </c>
      <c r="K105" s="216"/>
    </row>
    <row r="106" spans="1:11" s="208" customFormat="1" ht="94.5" x14ac:dyDescent="0.25">
      <c r="A106" s="144" t="s">
        <v>685</v>
      </c>
      <c r="B106" s="83" t="s">
        <v>686</v>
      </c>
      <c r="C106" s="79"/>
      <c r="D106" s="145">
        <f t="shared" si="60"/>
        <v>0</v>
      </c>
      <c r="E106" s="145"/>
      <c r="F106" s="145" t="s">
        <v>0</v>
      </c>
      <c r="G106" s="145">
        <f t="shared" si="68"/>
        <v>0</v>
      </c>
      <c r="H106" s="145">
        <f t="shared" si="69"/>
        <v>0</v>
      </c>
      <c r="I106" s="145">
        <f t="shared" ref="I106:I107" si="70">+D106/252*187</f>
        <v>0</v>
      </c>
      <c r="J106" s="145">
        <f t="shared" si="64"/>
        <v>0</v>
      </c>
      <c r="K106" s="216"/>
    </row>
    <row r="107" spans="1:11" s="208" customFormat="1" ht="54" x14ac:dyDescent="0.25">
      <c r="A107" s="144" t="s">
        <v>687</v>
      </c>
      <c r="B107" s="83" t="s">
        <v>688</v>
      </c>
      <c r="C107" s="79"/>
      <c r="D107" s="145">
        <f t="shared" si="60"/>
        <v>25200</v>
      </c>
      <c r="E107" s="145">
        <v>25200</v>
      </c>
      <c r="F107" s="145" t="s">
        <v>0</v>
      </c>
      <c r="G107" s="145">
        <f t="shared" si="68"/>
        <v>6000</v>
      </c>
      <c r="H107" s="145">
        <f t="shared" si="69"/>
        <v>12100</v>
      </c>
      <c r="I107" s="145">
        <f t="shared" si="70"/>
        <v>18700</v>
      </c>
      <c r="J107" s="145">
        <f t="shared" si="64"/>
        <v>25200</v>
      </c>
      <c r="K107" s="216"/>
    </row>
    <row r="108" spans="1:11" s="208" customFormat="1" ht="14.25" x14ac:dyDescent="0.25">
      <c r="A108" s="144" t="s">
        <v>689</v>
      </c>
      <c r="B108" s="83" t="s">
        <v>690</v>
      </c>
      <c r="C108" s="79"/>
      <c r="D108" s="145">
        <f t="shared" si="60"/>
        <v>0</v>
      </c>
      <c r="E108" s="145"/>
      <c r="F108" s="145" t="s">
        <v>0</v>
      </c>
      <c r="G108" s="145">
        <f t="shared" si="65"/>
        <v>0</v>
      </c>
      <c r="H108" s="145">
        <f t="shared" si="66"/>
        <v>0</v>
      </c>
      <c r="I108" s="145">
        <f t="shared" si="67"/>
        <v>0</v>
      </c>
      <c r="J108" s="145">
        <f t="shared" si="64"/>
        <v>0</v>
      </c>
      <c r="K108" s="216"/>
    </row>
    <row r="109" spans="1:11" s="208" customFormat="1" ht="27" x14ac:dyDescent="0.25">
      <c r="A109" s="144" t="s">
        <v>691</v>
      </c>
      <c r="B109" s="83" t="s">
        <v>692</v>
      </c>
      <c r="C109" s="79"/>
      <c r="D109" s="145">
        <f t="shared" si="60"/>
        <v>60</v>
      </c>
      <c r="E109" s="145">
        <v>60</v>
      </c>
      <c r="F109" s="145" t="s">
        <v>0</v>
      </c>
      <c r="G109" s="145">
        <f t="shared" si="65"/>
        <v>14.703557312252963</v>
      </c>
      <c r="H109" s="145">
        <f t="shared" si="66"/>
        <v>29.169960474308301</v>
      </c>
      <c r="I109" s="145">
        <f t="shared" si="67"/>
        <v>44.584980237154149</v>
      </c>
      <c r="J109" s="145">
        <f t="shared" si="64"/>
        <v>60</v>
      </c>
      <c r="K109" s="216"/>
    </row>
    <row r="110" spans="1:11" s="208" customFormat="1" ht="40.5" x14ac:dyDescent="0.25">
      <c r="A110" s="144" t="s">
        <v>622</v>
      </c>
      <c r="B110" s="83" t="s">
        <v>693</v>
      </c>
      <c r="C110" s="79"/>
      <c r="D110" s="145">
        <f t="shared" si="60"/>
        <v>53500</v>
      </c>
      <c r="E110" s="145">
        <v>53500</v>
      </c>
      <c r="F110" s="145" t="s">
        <v>0</v>
      </c>
      <c r="G110" s="145">
        <f t="shared" si="65"/>
        <v>13110.671936758894</v>
      </c>
      <c r="H110" s="145">
        <f t="shared" si="66"/>
        <v>26009.8814229249</v>
      </c>
      <c r="I110" s="145">
        <f t="shared" si="67"/>
        <v>39754.940711462448</v>
      </c>
      <c r="J110" s="145">
        <f t="shared" si="64"/>
        <v>53500</v>
      </c>
      <c r="K110" s="216"/>
    </row>
    <row r="111" spans="1:11" s="208" customFormat="1" ht="14.25" x14ac:dyDescent="0.25">
      <c r="A111" s="144" t="s">
        <v>637</v>
      </c>
      <c r="B111" s="83" t="s">
        <v>694</v>
      </c>
      <c r="C111" s="79"/>
      <c r="D111" s="145">
        <f>E111</f>
        <v>0</v>
      </c>
      <c r="E111" s="145"/>
      <c r="F111" s="145" t="s">
        <v>0</v>
      </c>
      <c r="G111" s="145">
        <f t="shared" si="65"/>
        <v>0</v>
      </c>
      <c r="H111" s="145">
        <f t="shared" si="66"/>
        <v>0</v>
      </c>
      <c r="I111" s="145">
        <f t="shared" si="67"/>
        <v>0</v>
      </c>
      <c r="J111" s="145">
        <f t="shared" si="64"/>
        <v>0</v>
      </c>
      <c r="K111" s="216"/>
    </row>
    <row r="112" spans="1:11" ht="28.5" x14ac:dyDescent="0.25">
      <c r="A112" s="142" t="s">
        <v>623</v>
      </c>
      <c r="B112" s="86" t="s">
        <v>734</v>
      </c>
      <c r="C112" s="143">
        <v>7431</v>
      </c>
      <c r="D112" s="88">
        <f>SUM(D113:D114)</f>
        <v>1600</v>
      </c>
      <c r="E112" s="88">
        <f>SUM(E113:E114)</f>
        <v>1600</v>
      </c>
      <c r="F112" s="88" t="s">
        <v>0</v>
      </c>
      <c r="G112" s="82">
        <f>SUM(G113:G114)</f>
        <v>380.95238095238091</v>
      </c>
      <c r="H112" s="82">
        <f>SUM(H113:H114)</f>
        <v>768.2539682539682</v>
      </c>
      <c r="I112" s="82">
        <f>SUM(I113:I114)</f>
        <v>1187.3015873015872</v>
      </c>
      <c r="J112" s="82">
        <f>SUM(J113:J114)</f>
        <v>1600</v>
      </c>
      <c r="K112" s="216"/>
    </row>
    <row r="113" spans="1:11" ht="54" x14ac:dyDescent="0.25">
      <c r="A113" s="144" t="s">
        <v>624</v>
      </c>
      <c r="B113" s="83" t="s">
        <v>854</v>
      </c>
      <c r="C113" s="85"/>
      <c r="D113" s="145">
        <f>SUM(E113:F113)</f>
        <v>1600</v>
      </c>
      <c r="E113" s="145">
        <v>1600</v>
      </c>
      <c r="F113" s="145" t="s">
        <v>0</v>
      </c>
      <c r="G113" s="145">
        <f>+D113/252*60</f>
        <v>380.95238095238091</v>
      </c>
      <c r="H113" s="145">
        <f t="shared" ref="H113" si="71">+D113/252*121</f>
        <v>768.2539682539682</v>
      </c>
      <c r="I113" s="145">
        <f>+D113/252*187</f>
        <v>1187.3015873015872</v>
      </c>
      <c r="J113" s="145">
        <f t="shared" ref="J113" si="72">+D113</f>
        <v>1600</v>
      </c>
      <c r="K113" s="216"/>
    </row>
    <row r="114" spans="1:11" s="208" customFormat="1" ht="40.5" x14ac:dyDescent="0.25">
      <c r="A114" s="144" t="s">
        <v>625</v>
      </c>
      <c r="B114" s="83" t="s">
        <v>735</v>
      </c>
      <c r="C114" s="85"/>
      <c r="D114" s="145">
        <f>SUM(E114:F114)</f>
        <v>0</v>
      </c>
      <c r="E114" s="145">
        <v>0</v>
      </c>
      <c r="F114" s="145" t="s">
        <v>0</v>
      </c>
      <c r="G114" s="145"/>
      <c r="H114" s="145"/>
      <c r="I114" s="145"/>
      <c r="J114" s="145"/>
      <c r="K114" s="216"/>
    </row>
    <row r="115" spans="1:11" ht="28.5" x14ac:dyDescent="0.25">
      <c r="A115" s="142" t="s">
        <v>626</v>
      </c>
      <c r="B115" s="86" t="s">
        <v>736</v>
      </c>
      <c r="C115" s="143">
        <v>7441</v>
      </c>
      <c r="D115" s="88">
        <f>SUM(D116:D117)</f>
        <v>5000</v>
      </c>
      <c r="E115" s="88">
        <f>SUM(E116:E117)</f>
        <v>5000</v>
      </c>
      <c r="F115" s="88" t="s">
        <v>0</v>
      </c>
      <c r="G115" s="88">
        <f t="shared" ref="G115:J115" si="73">SUM(G116:G117)</f>
        <v>5000</v>
      </c>
      <c r="H115" s="88">
        <f t="shared" si="73"/>
        <v>5000</v>
      </c>
      <c r="I115" s="88">
        <f t="shared" si="73"/>
        <v>5000</v>
      </c>
      <c r="J115" s="88">
        <f t="shared" si="73"/>
        <v>5000</v>
      </c>
      <c r="K115" s="216"/>
    </row>
    <row r="116" spans="1:11" s="208" customFormat="1" ht="121.5" x14ac:dyDescent="0.25">
      <c r="A116" s="144" t="s">
        <v>627</v>
      </c>
      <c r="B116" s="83" t="s">
        <v>855</v>
      </c>
      <c r="C116" s="85"/>
      <c r="D116" s="145">
        <f>SUM(E116:F116)</f>
        <v>0</v>
      </c>
      <c r="E116" s="145">
        <v>0</v>
      </c>
      <c r="F116" s="145" t="s">
        <v>0</v>
      </c>
      <c r="G116" s="145"/>
      <c r="H116" s="145"/>
      <c r="I116" s="145"/>
      <c r="J116" s="145"/>
      <c r="K116" s="216"/>
    </row>
    <row r="117" spans="1:11" s="208" customFormat="1" ht="108" x14ac:dyDescent="0.25">
      <c r="A117" s="147" t="s">
        <v>628</v>
      </c>
      <c r="B117" s="83" t="s">
        <v>737</v>
      </c>
      <c r="C117" s="85"/>
      <c r="D117" s="145">
        <f>SUM(E117:F117)</f>
        <v>5000</v>
      </c>
      <c r="E117" s="145">
        <v>5000</v>
      </c>
      <c r="F117" s="145" t="s">
        <v>0</v>
      </c>
      <c r="G117" s="145">
        <v>5000</v>
      </c>
      <c r="H117" s="145">
        <v>5000</v>
      </c>
      <c r="I117" s="145">
        <v>5000</v>
      </c>
      <c r="J117" s="145">
        <f>+E117</f>
        <v>5000</v>
      </c>
      <c r="K117" s="216"/>
    </row>
    <row r="118" spans="1:11" s="208" customFormat="1" ht="28.5" x14ac:dyDescent="0.25">
      <c r="A118" s="142" t="s">
        <v>629</v>
      </c>
      <c r="B118" s="86" t="s">
        <v>738</v>
      </c>
      <c r="C118" s="143">
        <v>7442</v>
      </c>
      <c r="D118" s="88">
        <f>SUM(D119:D120)</f>
        <v>0</v>
      </c>
      <c r="E118" s="88" t="s">
        <v>0</v>
      </c>
      <c r="F118" s="88">
        <f>SUM(F119:F120)</f>
        <v>0</v>
      </c>
      <c r="G118" s="88">
        <f>SUM(G119:G120)</f>
        <v>0</v>
      </c>
      <c r="H118" s="88">
        <f>SUM(H119:H120)</f>
        <v>0</v>
      </c>
      <c r="I118" s="88">
        <f>SUM(I119:I120)</f>
        <v>0</v>
      </c>
      <c r="J118" s="88">
        <f>SUM(J119:J120)</f>
        <v>0</v>
      </c>
      <c r="K118" s="216"/>
    </row>
    <row r="119" spans="1:11" s="208" customFormat="1" ht="135" x14ac:dyDescent="0.25">
      <c r="A119" s="144" t="s">
        <v>630</v>
      </c>
      <c r="B119" s="89" t="s">
        <v>832</v>
      </c>
      <c r="C119" s="85"/>
      <c r="D119" s="145">
        <f>SUM(E119:F119)</f>
        <v>0</v>
      </c>
      <c r="E119" s="145" t="s">
        <v>0</v>
      </c>
      <c r="F119" s="145"/>
      <c r="G119" s="145"/>
      <c r="H119" s="145"/>
      <c r="I119" s="145"/>
      <c r="J119" s="145"/>
      <c r="K119" s="216"/>
    </row>
    <row r="120" spans="1:11" s="208" customFormat="1" ht="121.5" x14ac:dyDescent="0.25">
      <c r="A120" s="144" t="s">
        <v>631</v>
      </c>
      <c r="B120" s="83" t="s">
        <v>739</v>
      </c>
      <c r="C120" s="85"/>
      <c r="D120" s="145">
        <f>SUM(E120:F120)</f>
        <v>0</v>
      </c>
      <c r="E120" s="145" t="s">
        <v>0</v>
      </c>
      <c r="F120" s="145">
        <v>0</v>
      </c>
      <c r="G120" s="145"/>
      <c r="H120" s="145"/>
      <c r="I120" s="145"/>
      <c r="J120" s="145"/>
      <c r="K120" s="216"/>
    </row>
    <row r="121" spans="1:11" ht="28.5" x14ac:dyDescent="0.25">
      <c r="A121" s="149" t="s">
        <v>632</v>
      </c>
      <c r="B121" s="86" t="s">
        <v>833</v>
      </c>
      <c r="C121" s="143">
        <v>7452</v>
      </c>
      <c r="D121" s="88">
        <f>+D122+D124</f>
        <v>139333.70000000001</v>
      </c>
      <c r="E121" s="88">
        <f>SUM(E122:E124)</f>
        <v>139333.70000000001</v>
      </c>
      <c r="F121" s="88">
        <f>SUM(F122:F124)</f>
        <v>925983</v>
      </c>
      <c r="G121" s="88">
        <f>+G122+G124</f>
        <v>63174.690476190503</v>
      </c>
      <c r="H121" s="88">
        <f>+H122+H124</f>
        <v>96902.292460317505</v>
      </c>
      <c r="I121" s="88">
        <f>+I122+I124</f>
        <v>123394.45198412699</v>
      </c>
      <c r="J121" s="88">
        <f>+J122+J124</f>
        <v>139333.70000000001</v>
      </c>
      <c r="K121" s="216"/>
    </row>
    <row r="122" spans="1:11" s="208" customFormat="1" ht="27" x14ac:dyDescent="0.25">
      <c r="A122" s="144" t="s">
        <v>633</v>
      </c>
      <c r="B122" s="83" t="s">
        <v>829</v>
      </c>
      <c r="C122" s="85"/>
      <c r="D122" s="145">
        <f>SUM(E122:F122)</f>
        <v>0</v>
      </c>
      <c r="E122" s="145" t="s">
        <v>0</v>
      </c>
      <c r="F122" s="145">
        <v>0</v>
      </c>
      <c r="G122" s="145"/>
      <c r="H122" s="145"/>
      <c r="I122" s="145"/>
      <c r="J122" s="145"/>
      <c r="K122" s="216"/>
    </row>
    <row r="123" spans="1:11" s="208" customFormat="1" ht="40.5" x14ac:dyDescent="0.25">
      <c r="A123" s="144" t="s">
        <v>634</v>
      </c>
      <c r="B123" s="83" t="s">
        <v>740</v>
      </c>
      <c r="C123" s="85"/>
      <c r="D123" s="145">
        <f>+F123</f>
        <v>925983</v>
      </c>
      <c r="E123" s="145" t="s">
        <v>0</v>
      </c>
      <c r="F123" s="150">
        <f>+'4.Gorcarakan ev tntesagitakan'!J777</f>
        <v>925983</v>
      </c>
      <c r="G123" s="150">
        <f>+'4.Gorcarakan ev tntesagitakan'!K777</f>
        <v>345364</v>
      </c>
      <c r="H123" s="150">
        <f>+'4.Gorcarakan ev tntesagitakan'!L777</f>
        <v>532603</v>
      </c>
      <c r="I123" s="150">
        <f>+'4.Gorcarakan ev tntesagitakan'!M777</f>
        <v>726707</v>
      </c>
      <c r="J123" s="150">
        <f>+'4.Gorcarakan ev tntesagitakan'!N777</f>
        <v>925983</v>
      </c>
      <c r="K123" s="216"/>
    </row>
    <row r="124" spans="1:11" ht="40.5" x14ac:dyDescent="0.25">
      <c r="A124" s="144" t="s">
        <v>635</v>
      </c>
      <c r="B124" s="83" t="s">
        <v>741</v>
      </c>
      <c r="C124" s="85"/>
      <c r="D124" s="145">
        <f>SUM(E124:F124)</f>
        <v>139333.70000000001</v>
      </c>
      <c r="E124" s="226">
        <f>990+720+77623.7+60000</f>
        <v>139333.70000000001</v>
      </c>
      <c r="F124" s="145">
        <v>0</v>
      </c>
      <c r="G124" s="145">
        <v>63174.690476190503</v>
      </c>
      <c r="H124" s="145">
        <v>96902.292460317505</v>
      </c>
      <c r="I124" s="145">
        <v>123394.45198412699</v>
      </c>
      <c r="J124" s="145">
        <f t="shared" ref="J124" si="74">+D124</f>
        <v>139333.70000000001</v>
      </c>
      <c r="K124" s="216"/>
    </row>
    <row r="125" spans="1:11" x14ac:dyDescent="0.25">
      <c r="A125" s="90"/>
      <c r="C125" s="90"/>
      <c r="E125" s="90"/>
      <c r="F125" s="90"/>
      <c r="H125" s="90"/>
      <c r="I125" s="90"/>
    </row>
    <row r="126" spans="1:11" x14ac:dyDescent="0.25">
      <c r="A126" s="90"/>
      <c r="C126" s="90"/>
      <c r="E126" s="90"/>
      <c r="F126" s="90"/>
      <c r="H126" s="90"/>
      <c r="I126" s="90"/>
    </row>
    <row r="127" spans="1:11" x14ac:dyDescent="0.25">
      <c r="A127" s="90"/>
      <c r="C127" s="90"/>
      <c r="E127" s="90"/>
      <c r="F127" s="90"/>
      <c r="H127" s="90"/>
      <c r="I127" s="90"/>
    </row>
    <row r="128" spans="1:11" x14ac:dyDescent="0.25">
      <c r="A128" s="90"/>
      <c r="C128" s="90"/>
      <c r="E128" s="90"/>
      <c r="F128" s="90"/>
      <c r="H128" s="90"/>
      <c r="I128" s="90"/>
    </row>
    <row r="129" spans="1:9" x14ac:dyDescent="0.25">
      <c r="A129" s="90"/>
      <c r="C129" s="90"/>
      <c r="E129" s="90"/>
      <c r="F129" s="90"/>
      <c r="H129" s="90"/>
      <c r="I129" s="90"/>
    </row>
    <row r="130" spans="1:9" x14ac:dyDescent="0.25">
      <c r="A130" s="90"/>
      <c r="C130" s="90"/>
      <c r="E130" s="90"/>
      <c r="F130" s="90"/>
      <c r="H130" s="90"/>
      <c r="I130" s="90"/>
    </row>
    <row r="131" spans="1:9" x14ac:dyDescent="0.25">
      <c r="A131" s="90"/>
      <c r="C131" s="90"/>
      <c r="E131" s="90"/>
      <c r="F131" s="90"/>
      <c r="H131" s="90"/>
      <c r="I131" s="90"/>
    </row>
    <row r="132" spans="1:9" x14ac:dyDescent="0.25">
      <c r="A132" s="90"/>
      <c r="C132" s="90"/>
      <c r="E132" s="90"/>
      <c r="F132" s="90"/>
      <c r="H132" s="90"/>
      <c r="I132" s="90"/>
    </row>
    <row r="133" spans="1:9" x14ac:dyDescent="0.25">
      <c r="A133" s="90"/>
      <c r="C133" s="90"/>
      <c r="E133" s="90"/>
      <c r="F133" s="90"/>
      <c r="H133" s="90"/>
      <c r="I133" s="90"/>
    </row>
    <row r="134" spans="1:9" x14ac:dyDescent="0.25">
      <c r="A134" s="90"/>
      <c r="C134" s="90"/>
      <c r="E134" s="90"/>
      <c r="F134" s="90"/>
      <c r="H134" s="90"/>
      <c r="I134" s="90"/>
    </row>
    <row r="135" spans="1:9" x14ac:dyDescent="0.25">
      <c r="A135" s="90"/>
      <c r="C135" s="90"/>
      <c r="E135" s="90"/>
      <c r="F135" s="90"/>
      <c r="H135" s="90"/>
      <c r="I135" s="90"/>
    </row>
    <row r="136" spans="1:9" x14ac:dyDescent="0.25">
      <c r="A136" s="90"/>
      <c r="C136" s="90"/>
      <c r="E136" s="90"/>
      <c r="F136" s="90"/>
      <c r="H136" s="90"/>
      <c r="I136" s="90"/>
    </row>
    <row r="137" spans="1:9" x14ac:dyDescent="0.25">
      <c r="A137" s="90"/>
      <c r="C137" s="90"/>
      <c r="E137" s="90"/>
      <c r="F137" s="90"/>
      <c r="H137" s="90"/>
      <c r="I137" s="90"/>
    </row>
    <row r="138" spans="1:9" x14ac:dyDescent="0.25">
      <c r="A138" s="90"/>
      <c r="C138" s="90"/>
      <c r="E138" s="90"/>
      <c r="F138" s="90"/>
      <c r="H138" s="90"/>
      <c r="I138" s="90"/>
    </row>
    <row r="139" spans="1:9" x14ac:dyDescent="0.25">
      <c r="A139" s="90"/>
      <c r="C139" s="90"/>
      <c r="E139" s="90"/>
      <c r="F139" s="90"/>
      <c r="H139" s="90"/>
      <c r="I139" s="90"/>
    </row>
    <row r="140" spans="1:9" x14ac:dyDescent="0.25">
      <c r="A140" s="90"/>
      <c r="C140" s="90"/>
      <c r="E140" s="90"/>
      <c r="F140" s="90"/>
      <c r="H140" s="90"/>
      <c r="I140" s="90"/>
    </row>
    <row r="141" spans="1:9" x14ac:dyDescent="0.25">
      <c r="A141" s="90"/>
      <c r="C141" s="90"/>
      <c r="E141" s="90"/>
      <c r="F141" s="90"/>
      <c r="H141" s="90"/>
      <c r="I141" s="90"/>
    </row>
    <row r="142" spans="1:9" x14ac:dyDescent="0.25">
      <c r="A142" s="90"/>
      <c r="C142" s="90"/>
      <c r="E142" s="90"/>
      <c r="F142" s="90"/>
      <c r="H142" s="90"/>
      <c r="I142" s="90"/>
    </row>
    <row r="143" spans="1:9" x14ac:dyDescent="0.25">
      <c r="A143" s="90"/>
      <c r="C143" s="90"/>
      <c r="E143" s="90"/>
      <c r="F143" s="90"/>
      <c r="H143" s="90"/>
      <c r="I143" s="90"/>
    </row>
    <row r="144" spans="1:9" x14ac:dyDescent="0.25">
      <c r="A144" s="90"/>
      <c r="C144" s="90"/>
      <c r="E144" s="90"/>
      <c r="F144" s="90"/>
      <c r="H144" s="90"/>
      <c r="I144" s="90"/>
    </row>
    <row r="145" spans="1:9" x14ac:dyDescent="0.25">
      <c r="A145" s="90"/>
      <c r="C145" s="90"/>
      <c r="E145" s="90"/>
      <c r="F145" s="90"/>
      <c r="H145" s="90"/>
      <c r="I145" s="90"/>
    </row>
    <row r="146" spans="1:9" x14ac:dyDescent="0.25">
      <c r="A146" s="90"/>
      <c r="C146" s="90"/>
      <c r="E146" s="90"/>
      <c r="F146" s="90"/>
      <c r="H146" s="90"/>
      <c r="I146" s="90"/>
    </row>
    <row r="147" spans="1:9" x14ac:dyDescent="0.25">
      <c r="A147" s="90"/>
      <c r="C147" s="90"/>
      <c r="E147" s="90"/>
      <c r="F147" s="90"/>
      <c r="H147" s="90"/>
      <c r="I147" s="90"/>
    </row>
    <row r="148" spans="1:9" x14ac:dyDescent="0.25">
      <c r="A148" s="90"/>
      <c r="C148" s="90"/>
      <c r="E148" s="90"/>
      <c r="F148" s="90"/>
      <c r="H148" s="90"/>
      <c r="I148" s="90"/>
    </row>
    <row r="149" spans="1:9" x14ac:dyDescent="0.25">
      <c r="A149" s="90"/>
      <c r="C149" s="90"/>
      <c r="E149" s="90"/>
      <c r="F149" s="90"/>
      <c r="H149" s="90"/>
      <c r="I149" s="90"/>
    </row>
    <row r="150" spans="1:9" x14ac:dyDescent="0.25">
      <c r="A150" s="90"/>
      <c r="C150" s="90"/>
      <c r="E150" s="90"/>
      <c r="F150" s="90"/>
      <c r="H150" s="90"/>
      <c r="I150" s="90"/>
    </row>
    <row r="151" spans="1:9" x14ac:dyDescent="0.25">
      <c r="A151" s="90"/>
      <c r="C151" s="90"/>
      <c r="E151" s="90"/>
      <c r="F151" s="90"/>
      <c r="H151" s="90"/>
      <c r="I151" s="90"/>
    </row>
    <row r="152" spans="1:9" x14ac:dyDescent="0.25">
      <c r="A152" s="90"/>
      <c r="C152" s="90"/>
      <c r="E152" s="90"/>
      <c r="F152" s="90"/>
      <c r="H152" s="90"/>
      <c r="I152" s="90"/>
    </row>
    <row r="153" spans="1:9" x14ac:dyDescent="0.25">
      <c r="A153" s="90"/>
      <c r="C153" s="90"/>
      <c r="E153" s="90"/>
      <c r="F153" s="90"/>
      <c r="H153" s="90"/>
      <c r="I153" s="90"/>
    </row>
    <row r="154" spans="1:9" x14ac:dyDescent="0.25">
      <c r="A154" s="90"/>
      <c r="C154" s="90"/>
      <c r="E154" s="90"/>
      <c r="F154" s="90"/>
      <c r="H154" s="90"/>
      <c r="I154" s="90"/>
    </row>
    <row r="155" spans="1:9" x14ac:dyDescent="0.25">
      <c r="A155" s="90"/>
      <c r="C155" s="90"/>
      <c r="E155" s="90"/>
      <c r="F155" s="90"/>
      <c r="H155" s="90"/>
      <c r="I155" s="90"/>
    </row>
    <row r="156" spans="1:9" x14ac:dyDescent="0.25">
      <c r="A156" s="90"/>
      <c r="C156" s="90"/>
      <c r="E156" s="90"/>
      <c r="F156" s="90"/>
      <c r="H156" s="90"/>
      <c r="I156" s="90"/>
    </row>
    <row r="157" spans="1:9" x14ac:dyDescent="0.25">
      <c r="A157" s="90"/>
      <c r="C157" s="90"/>
      <c r="E157" s="90"/>
      <c r="F157" s="90"/>
      <c r="H157" s="90"/>
      <c r="I157" s="90"/>
    </row>
    <row r="158" spans="1:9" x14ac:dyDescent="0.25">
      <c r="A158" s="90"/>
      <c r="C158" s="90"/>
      <c r="E158" s="90"/>
      <c r="F158" s="90"/>
      <c r="H158" s="90"/>
      <c r="I158" s="90"/>
    </row>
    <row r="159" spans="1:9" x14ac:dyDescent="0.25">
      <c r="A159" s="90"/>
      <c r="C159" s="90"/>
      <c r="E159" s="90"/>
      <c r="F159" s="90"/>
      <c r="H159" s="90"/>
      <c r="I159" s="90"/>
    </row>
    <row r="160" spans="1:9" x14ac:dyDescent="0.25">
      <c r="A160" s="90"/>
      <c r="C160" s="90"/>
      <c r="E160" s="90"/>
      <c r="F160" s="90"/>
      <c r="H160" s="90"/>
      <c r="I160" s="90"/>
    </row>
    <row r="161" spans="1:9" x14ac:dyDescent="0.25">
      <c r="A161" s="90"/>
      <c r="C161" s="90"/>
      <c r="E161" s="90"/>
      <c r="F161" s="90"/>
      <c r="H161" s="90"/>
      <c r="I161" s="90"/>
    </row>
  </sheetData>
  <protectedRanges>
    <protectedRange sqref="E55" name="Range7"/>
    <protectedRange sqref="E113:E114 E116:E117 F119:F120 F122 E124:F124" name="Range4"/>
    <protectedRange sqref="E45:E46 E49:E52 F57 E59 F61" name="Range2"/>
    <protectedRange sqref="E15:E17 G61:J61 G59:J59 G55:J55 G88:J88 G114:J114 G116:J117 G120:J120 G122:J122 G63:J63 G65:J68 G70:J71" name="Range1"/>
    <protectedRange sqref="E65:E68 F74 E76 E78:E81 E83 F71 E85" name="Range3"/>
    <protectedRange sqref="A5 F5" name="Range8"/>
    <protectedRange sqref="E24" name="Range1_1"/>
    <protectedRange sqref="E23 E25:E42" name="Range3_1"/>
    <protectedRange sqref="E88:E90 E96:E111 E92:E94" name="Range3_2"/>
  </protectedRanges>
  <mergeCells count="9">
    <mergeCell ref="G4:J4"/>
    <mergeCell ref="G2:J2"/>
    <mergeCell ref="G3:J3"/>
    <mergeCell ref="C8:C10"/>
    <mergeCell ref="A5:F5"/>
    <mergeCell ref="A6:F6"/>
    <mergeCell ref="G8:J8"/>
    <mergeCell ref="D9:D10"/>
    <mergeCell ref="G9:J9"/>
  </mergeCells>
  <pageMargins left="0.59055118110236227" right="0" top="0.23622047244094491" bottom="0.23622047244094491" header="0" footer="0"/>
  <pageSetup paperSize="9" scale="57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11"/>
  <sheetViews>
    <sheetView workbookViewId="0">
      <selection activeCell="I4" sqref="I4:L4"/>
    </sheetView>
  </sheetViews>
  <sheetFormatPr defaultRowHeight="17.25" x14ac:dyDescent="0.3"/>
  <cols>
    <col min="1" max="1" width="6" style="41" customWidth="1"/>
    <col min="2" max="2" width="5" style="46" customWidth="1"/>
    <col min="3" max="3" width="5.28515625" style="47" customWidth="1"/>
    <col min="4" max="4" width="4.5703125" style="48" customWidth="1"/>
    <col min="5" max="5" width="44.28515625" style="45" customWidth="1"/>
    <col min="6" max="6" width="14.7109375" style="35" customWidth="1"/>
    <col min="7" max="7" width="15.5703125" style="35" customWidth="1"/>
    <col min="8" max="8" width="15.140625" style="35" customWidth="1"/>
    <col min="9" max="12" width="17.140625" style="35" customWidth="1"/>
    <col min="13" max="15" width="14.85546875" style="35" bestFit="1" customWidth="1"/>
    <col min="16" max="16" width="12.140625" style="35" bestFit="1" customWidth="1"/>
    <col min="17" max="16384" width="9.140625" style="35"/>
  </cols>
  <sheetData>
    <row r="1" spans="1:29" s="90" customFormat="1" ht="27" customHeight="1" x14ac:dyDescent="0.25">
      <c r="A1" s="92"/>
      <c r="C1" s="92"/>
      <c r="E1" s="92"/>
      <c r="F1" s="92"/>
      <c r="G1" s="200"/>
      <c r="H1" s="200"/>
      <c r="J1" s="92"/>
      <c r="K1" s="92"/>
      <c r="L1" s="92" t="s">
        <v>864</v>
      </c>
    </row>
    <row r="2" spans="1:29" s="90" customFormat="1" ht="13.5" customHeight="1" x14ac:dyDescent="0.25">
      <c r="A2" s="92"/>
      <c r="C2" s="92"/>
      <c r="E2" s="92"/>
      <c r="F2" s="221"/>
      <c r="G2" s="18"/>
      <c r="H2" s="18"/>
      <c r="I2" s="239" t="s">
        <v>601</v>
      </c>
      <c r="J2" s="239"/>
      <c r="K2" s="239"/>
      <c r="L2" s="239"/>
    </row>
    <row r="3" spans="1:29" s="90" customFormat="1" ht="13.5" customHeight="1" x14ac:dyDescent="0.25">
      <c r="A3" s="92"/>
      <c r="C3" s="92"/>
      <c r="E3" s="92"/>
      <c r="F3" s="92"/>
      <c r="G3" s="18"/>
      <c r="H3" s="18"/>
      <c r="I3" s="239" t="s">
        <v>863</v>
      </c>
      <c r="J3" s="239"/>
      <c r="K3" s="239"/>
      <c r="L3" s="239"/>
    </row>
    <row r="4" spans="1:29" s="90" customFormat="1" ht="13.5" customHeight="1" x14ac:dyDescent="0.25">
      <c r="A4" s="92"/>
      <c r="C4" s="92"/>
      <c r="E4" s="92"/>
      <c r="F4" s="92"/>
      <c r="G4" s="18"/>
      <c r="H4" s="18"/>
      <c r="I4" s="239" t="s">
        <v>865</v>
      </c>
      <c r="J4" s="239"/>
      <c r="K4" s="239"/>
      <c r="L4" s="239"/>
    </row>
    <row r="5" spans="1:29" s="19" customFormat="1" ht="13.5" x14ac:dyDescent="0.25">
      <c r="A5" s="17"/>
      <c r="B5" s="18"/>
      <c r="C5" s="17"/>
      <c r="E5" s="17"/>
      <c r="F5" s="17"/>
    </row>
    <row r="6" spans="1:29" s="2" customFormat="1" x14ac:dyDescent="0.3">
      <c r="A6" s="243" t="s">
        <v>191</v>
      </c>
      <c r="B6" s="243"/>
      <c r="C6" s="243"/>
      <c r="D6" s="243"/>
      <c r="E6" s="243"/>
      <c r="F6" s="243"/>
      <c r="G6" s="243"/>
      <c r="H6" s="243"/>
      <c r="I6" s="243"/>
      <c r="J6" s="242"/>
      <c r="K6" s="242"/>
      <c r="L6" s="242"/>
    </row>
    <row r="7" spans="1:29" s="2" customFormat="1" ht="31.5" customHeight="1" x14ac:dyDescent="0.25">
      <c r="A7" s="241" t="s">
        <v>17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</row>
    <row r="8" spans="1:29" s="2" customFormat="1" ht="16.5" x14ac:dyDescent="0.3">
      <c r="A8" s="3"/>
      <c r="B8" s="3"/>
      <c r="C8" s="3"/>
      <c r="D8" s="3"/>
      <c r="E8" s="3"/>
      <c r="F8" s="3"/>
      <c r="G8" s="1" t="s">
        <v>18</v>
      </c>
    </row>
    <row r="9" spans="1:29" s="22" customFormat="1" x14ac:dyDescent="0.25">
      <c r="A9" s="247"/>
      <c r="B9" s="249"/>
      <c r="C9" s="250"/>
      <c r="D9" s="250"/>
      <c r="E9" s="251"/>
      <c r="F9" s="198" t="s">
        <v>366</v>
      </c>
      <c r="G9" s="244" t="s">
        <v>367</v>
      </c>
      <c r="H9" s="246"/>
      <c r="I9" s="244" t="s">
        <v>368</v>
      </c>
      <c r="J9" s="245"/>
      <c r="K9" s="245"/>
      <c r="L9" s="246"/>
    </row>
    <row r="10" spans="1:29" s="23" customFormat="1" ht="27.75" thickBot="1" x14ac:dyDescent="0.3">
      <c r="A10" s="248"/>
      <c r="B10" s="249"/>
      <c r="C10" s="250"/>
      <c r="D10" s="250"/>
      <c r="E10" s="251"/>
      <c r="F10" s="15" t="s">
        <v>603</v>
      </c>
      <c r="G10" s="16" t="s">
        <v>150</v>
      </c>
      <c r="H10" s="16" t="s">
        <v>151</v>
      </c>
      <c r="I10" s="197" t="s">
        <v>187</v>
      </c>
      <c r="J10" s="198" t="s">
        <v>188</v>
      </c>
      <c r="K10" s="198" t="s">
        <v>189</v>
      </c>
      <c r="L10" s="198" t="s">
        <v>190</v>
      </c>
    </row>
    <row r="11" spans="1:29" s="27" customFormat="1" ht="18" thickBot="1" x14ac:dyDescent="0.3">
      <c r="A11" s="24">
        <v>1</v>
      </c>
      <c r="B11" s="25">
        <v>2</v>
      </c>
      <c r="C11" s="25">
        <v>3</v>
      </c>
      <c r="D11" s="25">
        <v>4</v>
      </c>
      <c r="E11" s="2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26">
        <v>12</v>
      </c>
    </row>
    <row r="12" spans="1:29" s="30" customFormat="1" ht="83.25" thickBot="1" x14ac:dyDescent="0.3">
      <c r="A12" s="28">
        <v>2000</v>
      </c>
      <c r="B12" s="10" t="s">
        <v>1</v>
      </c>
      <c r="C12" s="8" t="s">
        <v>0</v>
      </c>
      <c r="D12" s="8" t="s">
        <v>0</v>
      </c>
      <c r="E12" s="4" t="s">
        <v>192</v>
      </c>
      <c r="F12" s="29">
        <f>+F13+F48+F65+F91+F144+F164+F184+F213+F243+F274</f>
        <v>9193112.1372999996</v>
      </c>
      <c r="G12" s="29">
        <f>+G13+G48+G65+G91+G144+G164+G184+G213+G243+G274+G306</f>
        <v>6767596.0294999992</v>
      </c>
      <c r="H12" s="29">
        <f>+H13+H48+H65+H91+H144+H164+H184+H213+H243+H274</f>
        <v>3351499.1077999999</v>
      </c>
      <c r="I12" s="29">
        <f>+I13+I48+I65+I91+I144+I164+I184+I213+I243+I274</f>
        <v>4280618.3073637141</v>
      </c>
      <c r="J12" s="29">
        <f>+J13+J48+J65+J91+J144+J164+J184+J213+J243+J274</f>
        <v>5968284.8972434709</v>
      </c>
      <c r="K12" s="29">
        <f>+K13+K48+K65+K91+K144+K164+K184+K213+K243+K274</f>
        <v>7657317.99027541</v>
      </c>
      <c r="L12" s="29">
        <f>+L13+L48+L65+L91+L144+L164+L184+L213+L243+L274</f>
        <v>9193112.1372999996</v>
      </c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</row>
    <row r="13" spans="1:29" s="34" customFormat="1" ht="66" x14ac:dyDescent="0.25">
      <c r="A13" s="31">
        <v>2100</v>
      </c>
      <c r="B13" s="32" t="s">
        <v>2</v>
      </c>
      <c r="C13" s="32" t="s">
        <v>3</v>
      </c>
      <c r="D13" s="32" t="s">
        <v>3</v>
      </c>
      <c r="E13" s="4" t="s">
        <v>193</v>
      </c>
      <c r="F13" s="29">
        <f>+F15+F20+F24+F29+F32+F35+F38+F41</f>
        <v>1269790.3295</v>
      </c>
      <c r="G13" s="29">
        <f t="shared" ref="G13:L13" si="0">+G15+G20+G24+G29+G32+G35+G38+G41</f>
        <v>1202361.1295</v>
      </c>
      <c r="H13" s="29">
        <f t="shared" si="0"/>
        <v>67429.200000000012</v>
      </c>
      <c r="I13" s="29">
        <f t="shared" si="0"/>
        <v>393895.40585545119</v>
      </c>
      <c r="J13" s="29">
        <f t="shared" si="0"/>
        <v>789308.78386351129</v>
      </c>
      <c r="K13" s="29">
        <f t="shared" si="0"/>
        <v>1043905.6651539803</v>
      </c>
      <c r="L13" s="29">
        <f t="shared" si="0"/>
        <v>1269790.3295</v>
      </c>
      <c r="M13" s="33"/>
      <c r="N13" s="33"/>
      <c r="O13" s="33"/>
      <c r="P13" s="33"/>
      <c r="Q13" s="33"/>
      <c r="R13" s="33"/>
      <c r="S13" s="33"/>
    </row>
    <row r="14" spans="1:29" x14ac:dyDescent="0.3">
      <c r="A14" s="31"/>
      <c r="B14" s="32"/>
      <c r="C14" s="32"/>
      <c r="D14" s="32"/>
      <c r="E14" s="5" t="s">
        <v>154</v>
      </c>
      <c r="F14" s="29"/>
      <c r="G14" s="29"/>
      <c r="H14" s="29"/>
      <c r="I14" s="29"/>
      <c r="J14" s="29"/>
      <c r="K14" s="29"/>
      <c r="L14" s="29"/>
    </row>
    <row r="15" spans="1:29" s="37" customFormat="1" ht="54" x14ac:dyDescent="0.3">
      <c r="A15" s="36">
        <v>2110</v>
      </c>
      <c r="B15" s="32" t="s">
        <v>2</v>
      </c>
      <c r="C15" s="32" t="s">
        <v>4</v>
      </c>
      <c r="D15" s="32" t="s">
        <v>3</v>
      </c>
      <c r="E15" s="5" t="s">
        <v>155</v>
      </c>
      <c r="F15" s="29">
        <f>+'4.Gorcarakan ev tntesagitakan'!H14</f>
        <v>990994.32950000011</v>
      </c>
      <c r="G15" s="29">
        <f>+'4.Gorcarakan ev tntesagitakan'!I14</f>
        <v>939065.12950000004</v>
      </c>
      <c r="H15" s="29">
        <f>+'4.Gorcarakan ev tntesagitakan'!J14</f>
        <v>51929.200000000004</v>
      </c>
      <c r="I15" s="29">
        <f>+'4.Gorcarakan ev tntesagitakan'!K14</f>
        <v>340076.54871259403</v>
      </c>
      <c r="J15" s="29">
        <f>+'4.Gorcarakan ev tntesagitakan'!L14</f>
        <v>681075.02195874939</v>
      </c>
      <c r="K15" s="29">
        <f>+'4.Gorcarakan ev tntesagitakan'!M14</f>
        <v>822796.7603920754</v>
      </c>
      <c r="L15" s="29">
        <f>+'4.Gorcarakan ev tntesagitakan'!N14</f>
        <v>990994.32950000011</v>
      </c>
    </row>
    <row r="16" spans="1:29" s="37" customFormat="1" x14ac:dyDescent="0.3">
      <c r="A16" s="36"/>
      <c r="B16" s="32"/>
      <c r="C16" s="32"/>
      <c r="D16" s="32"/>
      <c r="E16" s="5" t="s">
        <v>156</v>
      </c>
      <c r="F16" s="29"/>
      <c r="G16" s="29"/>
      <c r="H16" s="29"/>
      <c r="I16" s="29"/>
      <c r="J16" s="29"/>
      <c r="K16" s="29"/>
      <c r="L16" s="29"/>
    </row>
    <row r="17" spans="1:12" ht="27" x14ac:dyDescent="0.3">
      <c r="A17" s="36">
        <v>2111</v>
      </c>
      <c r="B17" s="32" t="s">
        <v>2</v>
      </c>
      <c r="C17" s="32" t="s">
        <v>4</v>
      </c>
      <c r="D17" s="32" t="s">
        <v>4</v>
      </c>
      <c r="E17" s="5" t="s">
        <v>157</v>
      </c>
      <c r="F17" s="29">
        <f>+'4.Gorcarakan ev tntesagitakan'!H16</f>
        <v>990994.32950000011</v>
      </c>
      <c r="G17" s="29">
        <f>+'4.Gorcarakan ev tntesagitakan'!I16</f>
        <v>939065.12950000004</v>
      </c>
      <c r="H17" s="29">
        <f>+'4.Gorcarakan ev tntesagitakan'!J16</f>
        <v>51929.200000000004</v>
      </c>
      <c r="I17" s="29">
        <f>+'4.Gorcarakan ev tntesagitakan'!K16</f>
        <v>340076.54871259403</v>
      </c>
      <c r="J17" s="29">
        <f>+'4.Gorcarakan ev tntesagitakan'!L16</f>
        <v>681075.02195874939</v>
      </c>
      <c r="K17" s="29">
        <f>+'4.Gorcarakan ev tntesagitakan'!M16</f>
        <v>822796.7603920754</v>
      </c>
      <c r="L17" s="29">
        <f>+'4.Gorcarakan ev tntesagitakan'!N16</f>
        <v>990994.32950000011</v>
      </c>
    </row>
    <row r="18" spans="1:12" ht="27" x14ac:dyDescent="0.3">
      <c r="A18" s="36">
        <v>2112</v>
      </c>
      <c r="B18" s="32" t="s">
        <v>2</v>
      </c>
      <c r="C18" s="32" t="s">
        <v>4</v>
      </c>
      <c r="D18" s="32" t="s">
        <v>5</v>
      </c>
      <c r="E18" s="5" t="s">
        <v>176</v>
      </c>
      <c r="F18" s="29">
        <f>SUM(G18:H18)</f>
        <v>0</v>
      </c>
      <c r="G18" s="29"/>
      <c r="H18" s="29"/>
      <c r="I18" s="29">
        <v>0</v>
      </c>
      <c r="J18" s="29">
        <v>0</v>
      </c>
      <c r="K18" s="29">
        <v>0</v>
      </c>
      <c r="L18" s="29">
        <v>0</v>
      </c>
    </row>
    <row r="19" spans="1:12" x14ac:dyDescent="0.3">
      <c r="A19" s="36">
        <v>2113</v>
      </c>
      <c r="B19" s="32" t="s">
        <v>2</v>
      </c>
      <c r="C19" s="32" t="s">
        <v>4</v>
      </c>
      <c r="D19" s="32" t="s">
        <v>6</v>
      </c>
      <c r="E19" s="5" t="s">
        <v>183</v>
      </c>
      <c r="F19" s="29">
        <f>SUM(G19:H19)</f>
        <v>0</v>
      </c>
      <c r="G19" s="29"/>
      <c r="H19" s="29"/>
      <c r="I19" s="29">
        <v>0</v>
      </c>
      <c r="J19" s="29">
        <v>0</v>
      </c>
      <c r="K19" s="29">
        <v>0</v>
      </c>
      <c r="L19" s="29">
        <v>0</v>
      </c>
    </row>
    <row r="20" spans="1:12" x14ac:dyDescent="0.3">
      <c r="A20" s="36">
        <v>2120</v>
      </c>
      <c r="B20" s="32" t="s">
        <v>2</v>
      </c>
      <c r="C20" s="32" t="s">
        <v>5</v>
      </c>
      <c r="D20" s="32" t="s">
        <v>3</v>
      </c>
      <c r="E20" s="5" t="s">
        <v>184</v>
      </c>
      <c r="F20" s="29">
        <f>SUM(F22:F23)</f>
        <v>0</v>
      </c>
      <c r="G20" s="29">
        <f>SUM(G22:G23)</f>
        <v>0</v>
      </c>
      <c r="H20" s="29">
        <f>SUM(H22:H23)</f>
        <v>0</v>
      </c>
      <c r="I20" s="29">
        <v>0</v>
      </c>
      <c r="J20" s="29">
        <v>0</v>
      </c>
      <c r="K20" s="29">
        <v>0</v>
      </c>
      <c r="L20" s="29">
        <v>0</v>
      </c>
    </row>
    <row r="21" spans="1:12" s="37" customFormat="1" x14ac:dyDescent="0.3">
      <c r="A21" s="36"/>
      <c r="B21" s="32"/>
      <c r="C21" s="32"/>
      <c r="D21" s="32"/>
      <c r="E21" s="5" t="s">
        <v>156</v>
      </c>
      <c r="F21" s="29"/>
      <c r="G21" s="29"/>
      <c r="H21" s="29"/>
      <c r="I21" s="29"/>
      <c r="J21" s="29"/>
      <c r="K21" s="29"/>
      <c r="L21" s="29"/>
    </row>
    <row r="22" spans="1:12" x14ac:dyDescent="0.3">
      <c r="A22" s="36">
        <v>2121</v>
      </c>
      <c r="B22" s="32" t="s">
        <v>2</v>
      </c>
      <c r="C22" s="32" t="s">
        <v>5</v>
      </c>
      <c r="D22" s="32" t="s">
        <v>4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12" ht="27" x14ac:dyDescent="0.3">
      <c r="A23" s="36">
        <v>2122</v>
      </c>
      <c r="B23" s="32" t="s">
        <v>2</v>
      </c>
      <c r="C23" s="32" t="s">
        <v>5</v>
      </c>
      <c r="D23" s="32" t="s">
        <v>5</v>
      </c>
      <c r="E23" s="5" t="s">
        <v>180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12" x14ac:dyDescent="0.3">
      <c r="A24" s="36">
        <v>2130</v>
      </c>
      <c r="B24" s="32" t="s">
        <v>2</v>
      </c>
      <c r="C24" s="32" t="s">
        <v>6</v>
      </c>
      <c r="D24" s="32" t="s">
        <v>3</v>
      </c>
      <c r="E24" s="5" t="s">
        <v>194</v>
      </c>
      <c r="F24" s="29">
        <f>+'4.Gorcarakan ev tntesagitakan'!H64</f>
        <v>0</v>
      </c>
      <c r="G24" s="29">
        <f>+'4.Gorcarakan ev tntesagitakan'!I64</f>
        <v>0</v>
      </c>
      <c r="H24" s="29"/>
      <c r="I24" s="29">
        <f>+'4.Gorcarakan ev tntesagitakan'!K62</f>
        <v>0</v>
      </c>
      <c r="J24" s="29">
        <f>+'4.Gorcarakan ev tntesagitakan'!L62</f>
        <v>0</v>
      </c>
      <c r="K24" s="29">
        <f>+'4.Gorcarakan ev tntesagitakan'!M62</f>
        <v>0</v>
      </c>
      <c r="L24" s="29">
        <f>+'4.Gorcarakan ev tntesagitakan'!N62</f>
        <v>0</v>
      </c>
    </row>
    <row r="25" spans="1:12" s="37" customFormat="1" x14ac:dyDescent="0.3">
      <c r="A25" s="36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12" ht="27" x14ac:dyDescent="0.3">
      <c r="A26" s="36">
        <v>2131</v>
      </c>
      <c r="B26" s="32" t="s">
        <v>2</v>
      </c>
      <c r="C26" s="32" t="s">
        <v>6</v>
      </c>
      <c r="D26" s="32" t="s">
        <v>4</v>
      </c>
      <c r="E26" s="5" t="s">
        <v>195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12" ht="27" x14ac:dyDescent="0.3">
      <c r="A27" s="36">
        <v>2132</v>
      </c>
      <c r="B27" s="32" t="s">
        <v>2</v>
      </c>
      <c r="C27" s="32">
        <v>3</v>
      </c>
      <c r="D27" s="32">
        <v>2</v>
      </c>
      <c r="E27" s="5" t="s">
        <v>196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12" x14ac:dyDescent="0.3">
      <c r="A28" s="36">
        <v>2133</v>
      </c>
      <c r="B28" s="32" t="s">
        <v>2</v>
      </c>
      <c r="C28" s="32">
        <v>3</v>
      </c>
      <c r="D28" s="32">
        <v>3</v>
      </c>
      <c r="E28" s="5" t="s">
        <v>197</v>
      </c>
      <c r="F28" s="29">
        <f>+'4.Gorcarakan ev tntesagitakan'!H74</f>
        <v>0</v>
      </c>
      <c r="G28" s="29">
        <f>+'4.Gorcarakan ev tntesagitakan'!I74</f>
        <v>0</v>
      </c>
      <c r="H28" s="29"/>
      <c r="I28" s="29">
        <f>+'4.Gorcarakan ev tntesagitakan'!K74</f>
        <v>0</v>
      </c>
      <c r="J28" s="29">
        <f>+'4.Gorcarakan ev tntesagitakan'!L74</f>
        <v>0</v>
      </c>
      <c r="K28" s="29">
        <f>+'4.Gorcarakan ev tntesagitakan'!M74</f>
        <v>0</v>
      </c>
      <c r="L28" s="29">
        <f>+'4.Gorcarakan ev tntesagitakan'!N74</f>
        <v>0</v>
      </c>
    </row>
    <row r="29" spans="1:12" x14ac:dyDescent="0.3">
      <c r="A29" s="36">
        <v>2140</v>
      </c>
      <c r="B29" s="32" t="s">
        <v>2</v>
      </c>
      <c r="C29" s="32">
        <v>4</v>
      </c>
      <c r="D29" s="32">
        <v>0</v>
      </c>
      <c r="E29" s="5" t="s">
        <v>198</v>
      </c>
      <c r="F29" s="29">
        <f>SUM(F31)</f>
        <v>0</v>
      </c>
      <c r="G29" s="29">
        <f>SUM(G31)</f>
        <v>0</v>
      </c>
      <c r="H29" s="29"/>
      <c r="I29" s="29">
        <v>0</v>
      </c>
      <c r="J29" s="29">
        <v>0</v>
      </c>
      <c r="K29" s="29">
        <v>0</v>
      </c>
      <c r="L29" s="29">
        <v>0</v>
      </c>
    </row>
    <row r="30" spans="1:12" s="37" customFormat="1" x14ac:dyDescent="0.3">
      <c r="A30" s="36"/>
      <c r="B30" s="32"/>
      <c r="C30" s="32"/>
      <c r="D30" s="32"/>
      <c r="E30" s="5" t="s">
        <v>156</v>
      </c>
      <c r="F30" s="29"/>
      <c r="G30" s="29"/>
      <c r="H30" s="29"/>
      <c r="I30" s="29"/>
      <c r="J30" s="29"/>
      <c r="K30" s="29"/>
      <c r="L30" s="29"/>
    </row>
    <row r="31" spans="1:12" x14ac:dyDescent="0.3">
      <c r="A31" s="36">
        <v>2141</v>
      </c>
      <c r="B31" s="32" t="s">
        <v>2</v>
      </c>
      <c r="C31" s="32">
        <v>4</v>
      </c>
      <c r="D31" s="32">
        <v>1</v>
      </c>
      <c r="E31" s="5" t="s">
        <v>199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12" ht="40.5" x14ac:dyDescent="0.3">
      <c r="A32" s="36">
        <v>2150</v>
      </c>
      <c r="B32" s="32" t="s">
        <v>2</v>
      </c>
      <c r="C32" s="32">
        <v>5</v>
      </c>
      <c r="D32" s="32">
        <v>0</v>
      </c>
      <c r="E32" s="5" t="s">
        <v>200</v>
      </c>
      <c r="F32" s="29">
        <f>+'4.Gorcarakan ev tntesagitakan'!H90</f>
        <v>23500</v>
      </c>
      <c r="G32" s="29">
        <f>+'4.Gorcarakan ev tntesagitakan'!I90</f>
        <v>8000</v>
      </c>
      <c r="H32" s="29">
        <f>+'4.Gorcarakan ev tntesagitakan'!J90</f>
        <v>15500</v>
      </c>
      <c r="I32" s="29">
        <f>+'4.Gorcarakan ev tntesagitakan'!K90</f>
        <v>5595.2380952380954</v>
      </c>
      <c r="J32" s="29">
        <f>+'4.Gorcarakan ev tntesagitakan'!L90</f>
        <v>11283.730158730159</v>
      </c>
      <c r="K32" s="29">
        <f>+'4.Gorcarakan ev tntesagitakan'!M90</f>
        <v>17438.492063492064</v>
      </c>
      <c r="L32" s="29">
        <f>+'4.Gorcarakan ev tntesagitakan'!N90</f>
        <v>23500</v>
      </c>
    </row>
    <row r="33" spans="1:12" s="37" customFormat="1" x14ac:dyDescent="0.3">
      <c r="A33" s="36"/>
      <c r="B33" s="32"/>
      <c r="C33" s="32"/>
      <c r="D33" s="32"/>
      <c r="E33" s="5" t="s">
        <v>156</v>
      </c>
      <c r="F33" s="29"/>
      <c r="G33" s="29"/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ht="40.5" x14ac:dyDescent="0.3">
      <c r="A34" s="36">
        <v>2151</v>
      </c>
      <c r="B34" s="32" t="s">
        <v>2</v>
      </c>
      <c r="C34" s="32">
        <v>5</v>
      </c>
      <c r="D34" s="32">
        <v>1</v>
      </c>
      <c r="E34" s="5" t="s">
        <v>201</v>
      </c>
      <c r="F34" s="29">
        <f>+'4.Gorcarakan ev tntesagitakan'!H92</f>
        <v>23500</v>
      </c>
      <c r="G34" s="29">
        <f>+'4.Gorcarakan ev tntesagitakan'!I92</f>
        <v>8000</v>
      </c>
      <c r="H34" s="29">
        <f>+'4.Gorcarakan ev tntesagitakan'!J92</f>
        <v>15500</v>
      </c>
      <c r="I34" s="29">
        <f>+'4.Gorcarakan ev tntesagitakan'!K92</f>
        <v>5595.2380952380954</v>
      </c>
      <c r="J34" s="29">
        <f>+'4.Gorcarakan ev tntesagitakan'!L92</f>
        <v>11283.730158730159</v>
      </c>
      <c r="K34" s="29">
        <f>+'4.Gorcarakan ev tntesagitakan'!M92</f>
        <v>17438.492063492064</v>
      </c>
      <c r="L34" s="29">
        <f>+'4.Gorcarakan ev tntesagitakan'!N92</f>
        <v>23500</v>
      </c>
    </row>
    <row r="35" spans="1:12" ht="27" x14ac:dyDescent="0.3">
      <c r="A35" s="36">
        <v>2160</v>
      </c>
      <c r="B35" s="32" t="s">
        <v>2</v>
      </c>
      <c r="C35" s="32">
        <v>6</v>
      </c>
      <c r="D35" s="32">
        <v>0</v>
      </c>
      <c r="E35" s="5" t="s">
        <v>202</v>
      </c>
      <c r="F35" s="29">
        <f>+'4.Gorcarakan ev tntesagitakan'!H97</f>
        <v>255296</v>
      </c>
      <c r="G35" s="29">
        <f>+'4.Gorcarakan ev tntesagitakan'!I97</f>
        <v>255296</v>
      </c>
      <c r="H35" s="29"/>
      <c r="I35" s="29">
        <f>+'4.Gorcarakan ev tntesagitakan'!K97</f>
        <v>48223.619047619053</v>
      </c>
      <c r="J35" s="29">
        <f>+'4.Gorcarakan ev tntesagitakan'!L97</f>
        <v>96950.03174603176</v>
      </c>
      <c r="K35" s="29">
        <f>+'4.Gorcarakan ev tntesagitakan'!M97</f>
        <v>203670.41269841272</v>
      </c>
      <c r="L35" s="29">
        <f>+'4.Gorcarakan ev tntesagitakan'!N97</f>
        <v>255296</v>
      </c>
    </row>
    <row r="36" spans="1:12" s="37" customFormat="1" x14ac:dyDescent="0.3">
      <c r="A36" s="36"/>
      <c r="B36" s="32"/>
      <c r="C36" s="32"/>
      <c r="D36" s="32"/>
      <c r="E36" s="5" t="s">
        <v>156</v>
      </c>
      <c r="F36" s="29"/>
      <c r="G36" s="29"/>
      <c r="H36" s="29"/>
      <c r="I36" s="29"/>
      <c r="J36" s="29"/>
      <c r="K36" s="29"/>
      <c r="L36" s="29"/>
    </row>
    <row r="37" spans="1:12" ht="27" x14ac:dyDescent="0.3">
      <c r="A37" s="36">
        <v>2161</v>
      </c>
      <c r="B37" s="32" t="s">
        <v>2</v>
      </c>
      <c r="C37" s="32">
        <v>6</v>
      </c>
      <c r="D37" s="32">
        <v>1</v>
      </c>
      <c r="E37" s="5" t="s">
        <v>203</v>
      </c>
      <c r="F37" s="29">
        <f>+'4.Gorcarakan ev tntesagitakan'!H99</f>
        <v>255296</v>
      </c>
      <c r="G37" s="29">
        <f>+'4.Gorcarakan ev tntesagitakan'!I99</f>
        <v>255296</v>
      </c>
      <c r="H37" s="29"/>
      <c r="I37" s="29">
        <f>+'4.Gorcarakan ev tntesagitakan'!K99</f>
        <v>48223.619047619053</v>
      </c>
      <c r="J37" s="29">
        <f>+'4.Gorcarakan ev tntesagitakan'!L99</f>
        <v>96950.03174603176</v>
      </c>
      <c r="K37" s="29">
        <f>+'4.Gorcarakan ev tntesagitakan'!M99</f>
        <v>203670.41269841272</v>
      </c>
      <c r="L37" s="29">
        <v>10500</v>
      </c>
    </row>
    <row r="38" spans="1:12" x14ac:dyDescent="0.3">
      <c r="A38" s="36">
        <v>2170</v>
      </c>
      <c r="B38" s="32" t="s">
        <v>2</v>
      </c>
      <c r="C38" s="32">
        <v>7</v>
      </c>
      <c r="D38" s="32">
        <v>0</v>
      </c>
      <c r="E38" s="5" t="s">
        <v>204</v>
      </c>
      <c r="F38" s="29">
        <f>SUM(F40)</f>
        <v>0</v>
      </c>
      <c r="G38" s="29">
        <f>SUM(G40)</f>
        <v>0</v>
      </c>
      <c r="H38" s="29">
        <f>SUM(H40)</f>
        <v>0</v>
      </c>
      <c r="I38" s="29">
        <v>0</v>
      </c>
      <c r="J38" s="29">
        <v>0</v>
      </c>
      <c r="K38" s="29">
        <v>0</v>
      </c>
      <c r="L38" s="29">
        <v>0</v>
      </c>
    </row>
    <row r="39" spans="1:12" s="37" customFormat="1" x14ac:dyDescent="0.3">
      <c r="A39" s="36"/>
      <c r="B39" s="32"/>
      <c r="C39" s="32"/>
      <c r="D39" s="32"/>
      <c r="E39" s="5" t="s">
        <v>156</v>
      </c>
      <c r="F39" s="29"/>
      <c r="G39" s="29"/>
      <c r="H39" s="29"/>
      <c r="I39" s="29"/>
      <c r="J39" s="29"/>
      <c r="K39" s="29"/>
      <c r="L39" s="29"/>
    </row>
    <row r="40" spans="1:12" x14ac:dyDescent="0.3">
      <c r="A40" s="36">
        <v>2171</v>
      </c>
      <c r="B40" s="32" t="s">
        <v>2</v>
      </c>
      <c r="C40" s="32">
        <v>7</v>
      </c>
      <c r="D40" s="32">
        <v>1</v>
      </c>
      <c r="E40" s="5" t="s">
        <v>204</v>
      </c>
      <c r="F40" s="29">
        <f>SUM(G40:H40)</f>
        <v>0</v>
      </c>
      <c r="G40" s="29"/>
      <c r="H40" s="29"/>
      <c r="I40" s="29">
        <v>0</v>
      </c>
      <c r="J40" s="29">
        <v>0</v>
      </c>
      <c r="K40" s="29">
        <v>0</v>
      </c>
      <c r="L40" s="29">
        <v>0</v>
      </c>
    </row>
    <row r="41" spans="1:12" ht="40.5" x14ac:dyDescent="0.3">
      <c r="A41" s="36">
        <v>2180</v>
      </c>
      <c r="B41" s="32" t="s">
        <v>2</v>
      </c>
      <c r="C41" s="32">
        <v>8</v>
      </c>
      <c r="D41" s="32">
        <v>0</v>
      </c>
      <c r="E41" s="5" t="s">
        <v>205</v>
      </c>
      <c r="F41" s="29">
        <f>SUM(F43)</f>
        <v>0</v>
      </c>
      <c r="G41" s="29">
        <f>SUM(G43)</f>
        <v>0</v>
      </c>
      <c r="H41" s="29">
        <f>SUM(H43)</f>
        <v>0</v>
      </c>
      <c r="I41" s="29">
        <v>0</v>
      </c>
      <c r="J41" s="29">
        <v>0</v>
      </c>
      <c r="K41" s="29">
        <v>0</v>
      </c>
      <c r="L41" s="29">
        <v>0</v>
      </c>
    </row>
    <row r="42" spans="1:12" s="37" customFormat="1" x14ac:dyDescent="0.3">
      <c r="A42" s="36"/>
      <c r="B42" s="32"/>
      <c r="C42" s="32"/>
      <c r="D42" s="32"/>
      <c r="E42" s="5" t="s">
        <v>156</v>
      </c>
      <c r="F42" s="29"/>
      <c r="G42" s="29"/>
      <c r="H42" s="29"/>
      <c r="I42" s="29"/>
      <c r="J42" s="29"/>
      <c r="K42" s="29"/>
      <c r="L42" s="29"/>
    </row>
    <row r="43" spans="1:12" ht="40.5" x14ac:dyDescent="0.3">
      <c r="A43" s="36">
        <v>2181</v>
      </c>
      <c r="B43" s="32" t="s">
        <v>2</v>
      </c>
      <c r="C43" s="32">
        <v>8</v>
      </c>
      <c r="D43" s="32">
        <v>1</v>
      </c>
      <c r="E43" s="5" t="s">
        <v>205</v>
      </c>
      <c r="F43" s="29">
        <f>SUM(F45:F46)</f>
        <v>0</v>
      </c>
      <c r="G43" s="29">
        <f>SUM(G45:G46)</f>
        <v>0</v>
      </c>
      <c r="H43" s="29">
        <f>SUM(H45:H46)</f>
        <v>0</v>
      </c>
      <c r="I43" s="29">
        <v>0</v>
      </c>
      <c r="J43" s="29">
        <v>0</v>
      </c>
      <c r="K43" s="29">
        <v>0</v>
      </c>
      <c r="L43" s="29">
        <v>0</v>
      </c>
    </row>
    <row r="44" spans="1:12" x14ac:dyDescent="0.3">
      <c r="A44" s="36"/>
      <c r="B44" s="32"/>
      <c r="C44" s="32"/>
      <c r="D44" s="32"/>
      <c r="E44" s="5" t="s">
        <v>156</v>
      </c>
      <c r="F44" s="29"/>
      <c r="G44" s="29"/>
      <c r="H44" s="29"/>
      <c r="I44" s="29"/>
      <c r="J44" s="29"/>
      <c r="K44" s="29"/>
      <c r="L44" s="29"/>
    </row>
    <row r="45" spans="1:12" x14ac:dyDescent="0.3">
      <c r="A45" s="36">
        <v>2182</v>
      </c>
      <c r="B45" s="32" t="s">
        <v>2</v>
      </c>
      <c r="C45" s="32">
        <v>8</v>
      </c>
      <c r="D45" s="32">
        <v>1</v>
      </c>
      <c r="E45" s="5" t="s">
        <v>206</v>
      </c>
      <c r="F45" s="29">
        <f>SUM(G45:H45)</f>
        <v>0</v>
      </c>
      <c r="G45" s="29"/>
      <c r="H45" s="29"/>
      <c r="I45" s="29">
        <v>0</v>
      </c>
      <c r="J45" s="29">
        <v>0</v>
      </c>
      <c r="K45" s="29">
        <v>0</v>
      </c>
      <c r="L45" s="29">
        <v>0</v>
      </c>
    </row>
    <row r="46" spans="1:12" ht="27" x14ac:dyDescent="0.3">
      <c r="A46" s="36">
        <v>2183</v>
      </c>
      <c r="B46" s="32" t="s">
        <v>2</v>
      </c>
      <c r="C46" s="32">
        <v>8</v>
      </c>
      <c r="D46" s="32">
        <v>1</v>
      </c>
      <c r="E46" s="5" t="s">
        <v>207</v>
      </c>
      <c r="F46" s="29">
        <f>SUM(G46:H46)</f>
        <v>0</v>
      </c>
      <c r="G46" s="29"/>
      <c r="H46" s="29"/>
      <c r="I46" s="29">
        <v>0</v>
      </c>
      <c r="J46" s="29">
        <v>0</v>
      </c>
      <c r="K46" s="29">
        <v>0</v>
      </c>
      <c r="L46" s="29">
        <v>0</v>
      </c>
    </row>
    <row r="47" spans="1:12" x14ac:dyDescent="0.3">
      <c r="A47" s="36">
        <v>2185</v>
      </c>
      <c r="B47" s="32" t="s">
        <v>2</v>
      </c>
      <c r="C47" s="32">
        <v>8</v>
      </c>
      <c r="D47" s="32">
        <v>1</v>
      </c>
      <c r="E47" s="5"/>
      <c r="F47" s="29"/>
      <c r="G47" s="29"/>
      <c r="H47" s="29"/>
      <c r="I47" s="29"/>
      <c r="J47" s="29"/>
      <c r="K47" s="29"/>
      <c r="L47" s="29"/>
    </row>
    <row r="48" spans="1:12" s="34" customFormat="1" ht="49.5" x14ac:dyDescent="0.25">
      <c r="A48" s="36">
        <v>2200</v>
      </c>
      <c r="B48" s="32" t="s">
        <v>7</v>
      </c>
      <c r="C48" s="32">
        <v>0</v>
      </c>
      <c r="D48" s="32">
        <v>0</v>
      </c>
      <c r="E48" s="4" t="s">
        <v>208</v>
      </c>
      <c r="F48" s="29">
        <f>+F50+F53+F56+F59+F62</f>
        <v>2400</v>
      </c>
      <c r="G48" s="29">
        <f t="shared" ref="G48:L48" si="1">+G50+G53+G56+G59+G62</f>
        <v>2400</v>
      </c>
      <c r="H48" s="29">
        <f t="shared" si="1"/>
        <v>0</v>
      </c>
      <c r="I48" s="29">
        <f t="shared" si="1"/>
        <v>571.42857142857144</v>
      </c>
      <c r="J48" s="29">
        <f t="shared" si="1"/>
        <v>1152.3809523809523</v>
      </c>
      <c r="K48" s="29">
        <f t="shared" si="1"/>
        <v>1780.952380952381</v>
      </c>
      <c r="L48" s="29">
        <f t="shared" si="1"/>
        <v>2400</v>
      </c>
    </row>
    <row r="49" spans="1:12" x14ac:dyDescent="0.3">
      <c r="A49" s="31"/>
      <c r="B49" s="32"/>
      <c r="C49" s="32"/>
      <c r="D49" s="32"/>
      <c r="E49" s="5" t="s">
        <v>154</v>
      </c>
      <c r="F49" s="29"/>
      <c r="G49" s="29"/>
      <c r="H49" s="29"/>
      <c r="I49" s="29"/>
      <c r="J49" s="29"/>
      <c r="K49" s="29"/>
      <c r="L49" s="29"/>
    </row>
    <row r="50" spans="1:12" x14ac:dyDescent="0.3">
      <c r="A50" s="36">
        <v>2210</v>
      </c>
      <c r="B50" s="32" t="s">
        <v>7</v>
      </c>
      <c r="C50" s="32">
        <v>1</v>
      </c>
      <c r="D50" s="32">
        <v>0</v>
      </c>
      <c r="E50" s="5" t="s">
        <v>209</v>
      </c>
      <c r="F50" s="29">
        <f>SUM(F52)</f>
        <v>0</v>
      </c>
      <c r="G50" s="29">
        <f>SUM(G52)</f>
        <v>0</v>
      </c>
      <c r="H50" s="29">
        <f>SUM(H52)</f>
        <v>0</v>
      </c>
      <c r="I50" s="29">
        <v>0</v>
      </c>
      <c r="J50" s="29">
        <v>0</v>
      </c>
      <c r="K50" s="29">
        <v>0</v>
      </c>
      <c r="L50" s="29">
        <v>0</v>
      </c>
    </row>
    <row r="51" spans="1:12" s="37" customFormat="1" x14ac:dyDescent="0.3">
      <c r="A51" s="36"/>
      <c r="B51" s="32"/>
      <c r="C51" s="32"/>
      <c r="D51" s="32"/>
      <c r="E51" s="5" t="s">
        <v>156</v>
      </c>
      <c r="F51" s="29"/>
      <c r="G51" s="29"/>
      <c r="H51" s="29"/>
      <c r="I51" s="29"/>
      <c r="J51" s="29"/>
      <c r="K51" s="29"/>
      <c r="L51" s="29"/>
    </row>
    <row r="52" spans="1:12" x14ac:dyDescent="0.3">
      <c r="A52" s="36">
        <v>2211</v>
      </c>
      <c r="B52" s="32" t="s">
        <v>7</v>
      </c>
      <c r="C52" s="32">
        <v>1</v>
      </c>
      <c r="D52" s="32">
        <v>1</v>
      </c>
      <c r="E52" s="5" t="s">
        <v>210</v>
      </c>
      <c r="F52" s="29">
        <f>SUM(G52:H52)</f>
        <v>0</v>
      </c>
      <c r="G52" s="29"/>
      <c r="H52" s="29"/>
      <c r="I52" s="29">
        <v>0</v>
      </c>
      <c r="J52" s="29">
        <v>0</v>
      </c>
      <c r="K52" s="29">
        <v>0</v>
      </c>
      <c r="L52" s="29">
        <v>0</v>
      </c>
    </row>
    <row r="53" spans="1:12" x14ac:dyDescent="0.3">
      <c r="A53" s="36">
        <v>2220</v>
      </c>
      <c r="B53" s="32" t="s">
        <v>7</v>
      </c>
      <c r="C53" s="32">
        <v>2</v>
      </c>
      <c r="D53" s="32">
        <v>0</v>
      </c>
      <c r="E53" s="5" t="s">
        <v>211</v>
      </c>
      <c r="F53" s="29">
        <f>SUM(F55)</f>
        <v>0</v>
      </c>
      <c r="G53" s="29">
        <f>SUM(G55)</f>
        <v>0</v>
      </c>
      <c r="H53" s="29">
        <f>SUM(H55)</f>
        <v>0</v>
      </c>
      <c r="I53" s="29">
        <v>0</v>
      </c>
      <c r="J53" s="29">
        <v>0</v>
      </c>
      <c r="K53" s="29">
        <v>0</v>
      </c>
      <c r="L53" s="29">
        <v>0</v>
      </c>
    </row>
    <row r="54" spans="1:12" s="37" customFormat="1" x14ac:dyDescent="0.3">
      <c r="A54" s="36"/>
      <c r="B54" s="32"/>
      <c r="C54" s="32"/>
      <c r="D54" s="32"/>
      <c r="E54" s="5" t="s">
        <v>156</v>
      </c>
      <c r="F54" s="29"/>
      <c r="G54" s="29"/>
      <c r="H54" s="29"/>
      <c r="I54" s="29"/>
      <c r="J54" s="29"/>
      <c r="K54" s="29"/>
      <c r="L54" s="29"/>
    </row>
    <row r="55" spans="1:12" x14ac:dyDescent="0.3">
      <c r="A55" s="36">
        <v>2221</v>
      </c>
      <c r="B55" s="32" t="s">
        <v>7</v>
      </c>
      <c r="C55" s="32">
        <v>2</v>
      </c>
      <c r="D55" s="32">
        <v>1</v>
      </c>
      <c r="E55" s="5" t="s">
        <v>212</v>
      </c>
      <c r="F55" s="29">
        <f>SUM(G55:H55)</f>
        <v>0</v>
      </c>
      <c r="G55" s="29"/>
      <c r="H55" s="29"/>
      <c r="I55" s="29">
        <v>0</v>
      </c>
      <c r="J55" s="29">
        <v>0</v>
      </c>
      <c r="K55" s="29">
        <v>0</v>
      </c>
      <c r="L55" s="29">
        <v>0</v>
      </c>
    </row>
    <row r="56" spans="1:12" x14ac:dyDescent="0.3">
      <c r="A56" s="36">
        <v>2230</v>
      </c>
      <c r="B56" s="32" t="s">
        <v>7</v>
      </c>
      <c r="C56" s="32">
        <v>3</v>
      </c>
      <c r="D56" s="32">
        <v>0</v>
      </c>
      <c r="E56" s="5" t="s">
        <v>213</v>
      </c>
      <c r="F56" s="29">
        <f>SUM(F58)</f>
        <v>0</v>
      </c>
      <c r="G56" s="29">
        <f>SUM(G58)</f>
        <v>0</v>
      </c>
      <c r="H56" s="29">
        <f>SUM(H58)</f>
        <v>0</v>
      </c>
      <c r="I56" s="29">
        <v>0</v>
      </c>
      <c r="J56" s="29">
        <v>0</v>
      </c>
      <c r="K56" s="29">
        <v>0</v>
      </c>
      <c r="L56" s="29">
        <v>0</v>
      </c>
    </row>
    <row r="57" spans="1:12" s="37" customFormat="1" x14ac:dyDescent="0.3">
      <c r="A57" s="36"/>
      <c r="B57" s="32"/>
      <c r="C57" s="32"/>
      <c r="D57" s="32"/>
      <c r="E57" s="5" t="s">
        <v>156</v>
      </c>
      <c r="F57" s="29"/>
      <c r="G57" s="29"/>
      <c r="H57" s="29"/>
      <c r="I57" s="29"/>
      <c r="J57" s="29"/>
      <c r="K57" s="29"/>
      <c r="L57" s="29"/>
    </row>
    <row r="58" spans="1:12" x14ac:dyDescent="0.3">
      <c r="A58" s="36">
        <v>2231</v>
      </c>
      <c r="B58" s="32" t="s">
        <v>7</v>
      </c>
      <c r="C58" s="32">
        <v>3</v>
      </c>
      <c r="D58" s="32">
        <v>1</v>
      </c>
      <c r="E58" s="5" t="s">
        <v>214</v>
      </c>
      <c r="F58" s="29">
        <f>SUM(G58:H58)</f>
        <v>0</v>
      </c>
      <c r="G58" s="29"/>
      <c r="H58" s="29"/>
      <c r="I58" s="29">
        <v>0</v>
      </c>
      <c r="J58" s="29">
        <v>0</v>
      </c>
      <c r="K58" s="29">
        <v>0</v>
      </c>
      <c r="L58" s="29">
        <v>0</v>
      </c>
    </row>
    <row r="59" spans="1:12" ht="27" x14ac:dyDescent="0.3">
      <c r="A59" s="36">
        <v>2240</v>
      </c>
      <c r="B59" s="32" t="s">
        <v>7</v>
      </c>
      <c r="C59" s="32">
        <v>4</v>
      </c>
      <c r="D59" s="32">
        <v>0</v>
      </c>
      <c r="E59" s="5" t="s">
        <v>215</v>
      </c>
      <c r="F59" s="29">
        <f>SUM(F61)</f>
        <v>0</v>
      </c>
      <c r="G59" s="29">
        <f>SUM(G61)</f>
        <v>0</v>
      </c>
      <c r="H59" s="29">
        <f>SUM(H61)</f>
        <v>0</v>
      </c>
      <c r="I59" s="29">
        <v>0</v>
      </c>
      <c r="J59" s="29">
        <v>0</v>
      </c>
      <c r="K59" s="29">
        <v>0</v>
      </c>
      <c r="L59" s="29">
        <v>0</v>
      </c>
    </row>
    <row r="60" spans="1:12" s="37" customFormat="1" x14ac:dyDescent="0.3">
      <c r="A60" s="36"/>
      <c r="B60" s="32"/>
      <c r="C60" s="32"/>
      <c r="D60" s="32"/>
      <c r="E60" s="5" t="s">
        <v>156</v>
      </c>
      <c r="F60" s="29"/>
      <c r="G60" s="29"/>
      <c r="H60" s="29"/>
      <c r="I60" s="29"/>
      <c r="J60" s="29"/>
      <c r="K60" s="29"/>
      <c r="L60" s="29"/>
    </row>
    <row r="61" spans="1:12" ht="27" x14ac:dyDescent="0.3">
      <c r="A61" s="36">
        <v>2241</v>
      </c>
      <c r="B61" s="32" t="s">
        <v>7</v>
      </c>
      <c r="C61" s="32">
        <v>4</v>
      </c>
      <c r="D61" s="32">
        <v>1</v>
      </c>
      <c r="E61" s="5" t="s">
        <v>215</v>
      </c>
      <c r="F61" s="29">
        <f>SUM(G61:H61)</f>
        <v>0</v>
      </c>
      <c r="G61" s="29"/>
      <c r="H61" s="29"/>
      <c r="I61" s="29">
        <v>0</v>
      </c>
      <c r="J61" s="29">
        <v>0</v>
      </c>
      <c r="K61" s="29">
        <v>0</v>
      </c>
      <c r="L61" s="29">
        <v>0</v>
      </c>
    </row>
    <row r="62" spans="1:12" x14ac:dyDescent="0.3">
      <c r="A62" s="36">
        <v>2250</v>
      </c>
      <c r="B62" s="32" t="s">
        <v>7</v>
      </c>
      <c r="C62" s="32">
        <v>5</v>
      </c>
      <c r="D62" s="32">
        <v>0</v>
      </c>
      <c r="E62" s="5" t="s">
        <v>216</v>
      </c>
      <c r="F62" s="29">
        <f>+F64</f>
        <v>2400</v>
      </c>
      <c r="G62" s="29">
        <f t="shared" ref="G62:L62" si="2">+G64</f>
        <v>2400</v>
      </c>
      <c r="H62" s="29">
        <f t="shared" si="2"/>
        <v>0</v>
      </c>
      <c r="I62" s="29">
        <f t="shared" si="2"/>
        <v>571.42857142857144</v>
      </c>
      <c r="J62" s="29">
        <f t="shared" si="2"/>
        <v>1152.3809523809523</v>
      </c>
      <c r="K62" s="29">
        <f t="shared" si="2"/>
        <v>1780.952380952381</v>
      </c>
      <c r="L62" s="29">
        <f t="shared" si="2"/>
        <v>2400</v>
      </c>
    </row>
    <row r="63" spans="1:12" s="37" customFormat="1" x14ac:dyDescent="0.3">
      <c r="A63" s="36"/>
      <c r="B63" s="32"/>
      <c r="C63" s="32"/>
      <c r="D63" s="32"/>
      <c r="E63" s="5" t="s">
        <v>156</v>
      </c>
      <c r="F63" s="29"/>
      <c r="G63" s="29"/>
      <c r="H63" s="29"/>
      <c r="I63" s="29"/>
      <c r="J63" s="29"/>
      <c r="K63" s="29"/>
      <c r="L63" s="29"/>
    </row>
    <row r="64" spans="1:12" x14ac:dyDescent="0.3">
      <c r="A64" s="36">
        <v>2251</v>
      </c>
      <c r="B64" s="32" t="s">
        <v>7</v>
      </c>
      <c r="C64" s="32">
        <v>5</v>
      </c>
      <c r="D64" s="32">
        <v>1</v>
      </c>
      <c r="E64" s="5" t="s">
        <v>216</v>
      </c>
      <c r="F64" s="29">
        <f>+'4.Gorcarakan ev tntesagitakan'!H152</f>
        <v>2400</v>
      </c>
      <c r="G64" s="29">
        <f>+'4.Gorcarakan ev tntesagitakan'!I152</f>
        <v>2400</v>
      </c>
      <c r="H64" s="29">
        <f>+'4.Gorcarakan ev tntesagitakan'!J152</f>
        <v>0</v>
      </c>
      <c r="I64" s="29">
        <f>+'4.Gorcarakan ev tntesagitakan'!K152</f>
        <v>571.42857142857144</v>
      </c>
      <c r="J64" s="29">
        <f>+'4.Gorcarakan ev tntesagitakan'!L152</f>
        <v>1152.3809523809523</v>
      </c>
      <c r="K64" s="29">
        <f>+'4.Gorcarakan ev tntesagitakan'!M152</f>
        <v>1780.952380952381</v>
      </c>
      <c r="L64" s="29">
        <f>+'4.Gorcarakan ev tntesagitakan'!N152</f>
        <v>2400</v>
      </c>
    </row>
    <row r="65" spans="1:12" s="34" customFormat="1" ht="54" x14ac:dyDescent="0.25">
      <c r="A65" s="36">
        <v>2300</v>
      </c>
      <c r="B65" s="32" t="s">
        <v>8</v>
      </c>
      <c r="C65" s="32">
        <v>0</v>
      </c>
      <c r="D65" s="32">
        <v>0</v>
      </c>
      <c r="E65" s="5" t="s">
        <v>217</v>
      </c>
      <c r="F65" s="29">
        <f>SUM(F67,F72,F75,F79,F82,F85,F88)</f>
        <v>0</v>
      </c>
      <c r="G65" s="29">
        <f>SUM(G67,G72,G75,G79,G82,G85,G88)</f>
        <v>0</v>
      </c>
      <c r="H65" s="29">
        <f>SUM(H67,H72,H75,H79,H82,H85,H88)</f>
        <v>0</v>
      </c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1"/>
      <c r="B66" s="32"/>
      <c r="C66" s="32"/>
      <c r="D66" s="32"/>
      <c r="E66" s="5" t="s">
        <v>154</v>
      </c>
      <c r="F66" s="29"/>
      <c r="G66" s="29"/>
      <c r="H66" s="29"/>
      <c r="I66" s="29"/>
      <c r="J66" s="29"/>
      <c r="K66" s="29"/>
      <c r="L66" s="29"/>
    </row>
    <row r="67" spans="1:12" x14ac:dyDescent="0.3">
      <c r="A67" s="36">
        <v>2310</v>
      </c>
      <c r="B67" s="32" t="s">
        <v>8</v>
      </c>
      <c r="C67" s="32">
        <v>1</v>
      </c>
      <c r="D67" s="32">
        <v>0</v>
      </c>
      <c r="E67" s="5" t="s">
        <v>218</v>
      </c>
      <c r="F67" s="29">
        <f>SUM(F69:F71)</f>
        <v>0</v>
      </c>
      <c r="G67" s="29">
        <f>SUM(G69:G71)</f>
        <v>0</v>
      </c>
      <c r="H67" s="29">
        <f>SUM(H69:H71)</f>
        <v>0</v>
      </c>
      <c r="I67" s="29">
        <v>0</v>
      </c>
      <c r="J67" s="29">
        <v>0</v>
      </c>
      <c r="K67" s="29">
        <v>0</v>
      </c>
      <c r="L67" s="29">
        <v>0</v>
      </c>
    </row>
    <row r="68" spans="1:12" s="37" customFormat="1" x14ac:dyDescent="0.3">
      <c r="A68" s="36"/>
      <c r="B68" s="32"/>
      <c r="C68" s="32"/>
      <c r="D68" s="32"/>
      <c r="E68" s="5" t="s">
        <v>156</v>
      </c>
      <c r="F68" s="29"/>
      <c r="G68" s="29"/>
      <c r="H68" s="29"/>
      <c r="I68" s="29"/>
      <c r="J68" s="29"/>
      <c r="K68" s="29"/>
      <c r="L68" s="29"/>
    </row>
    <row r="69" spans="1:12" x14ac:dyDescent="0.3">
      <c r="A69" s="36">
        <v>2311</v>
      </c>
      <c r="B69" s="32" t="s">
        <v>8</v>
      </c>
      <c r="C69" s="32">
        <v>1</v>
      </c>
      <c r="D69" s="32">
        <v>1</v>
      </c>
      <c r="E69" s="5" t="s">
        <v>219</v>
      </c>
      <c r="F69" s="29">
        <f>SUM(G69:H69)</f>
        <v>0</v>
      </c>
      <c r="G69" s="29"/>
      <c r="H69" s="29"/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6">
        <v>2312</v>
      </c>
      <c r="B70" s="32" t="s">
        <v>8</v>
      </c>
      <c r="C70" s="32">
        <v>1</v>
      </c>
      <c r="D70" s="32">
        <v>2</v>
      </c>
      <c r="E70" s="5" t="s">
        <v>220</v>
      </c>
      <c r="F70" s="29">
        <f>SUM(G70:H70)</f>
        <v>0</v>
      </c>
      <c r="G70" s="29"/>
      <c r="H70" s="29"/>
      <c r="I70" s="29">
        <v>0</v>
      </c>
      <c r="J70" s="29">
        <v>0</v>
      </c>
      <c r="K70" s="29">
        <v>0</v>
      </c>
      <c r="L70" s="29">
        <v>0</v>
      </c>
    </row>
    <row r="71" spans="1:12" x14ac:dyDescent="0.3">
      <c r="A71" s="36">
        <v>2313</v>
      </c>
      <c r="B71" s="32" t="s">
        <v>8</v>
      </c>
      <c r="C71" s="32">
        <v>1</v>
      </c>
      <c r="D71" s="32">
        <v>3</v>
      </c>
      <c r="E71" s="5" t="s">
        <v>221</v>
      </c>
      <c r="F71" s="29">
        <f>SUM(G71:H71)</f>
        <v>0</v>
      </c>
      <c r="G71" s="29"/>
      <c r="H71" s="29"/>
      <c r="I71" s="29">
        <v>0</v>
      </c>
      <c r="J71" s="29">
        <v>0</v>
      </c>
      <c r="K71" s="29">
        <v>0</v>
      </c>
      <c r="L71" s="29">
        <v>0</v>
      </c>
    </row>
    <row r="72" spans="1:12" x14ac:dyDescent="0.3">
      <c r="A72" s="36">
        <v>2320</v>
      </c>
      <c r="B72" s="32" t="s">
        <v>8</v>
      </c>
      <c r="C72" s="32">
        <v>2</v>
      </c>
      <c r="D72" s="32">
        <v>0</v>
      </c>
      <c r="E72" s="5" t="s">
        <v>222</v>
      </c>
      <c r="F72" s="29">
        <f>SUM(F74)</f>
        <v>0</v>
      </c>
      <c r="G72" s="29">
        <f>SUM(G74)</f>
        <v>0</v>
      </c>
      <c r="H72" s="29">
        <f>SUM(H74)</f>
        <v>0</v>
      </c>
      <c r="I72" s="29">
        <v>0</v>
      </c>
      <c r="J72" s="29">
        <v>0</v>
      </c>
      <c r="K72" s="29">
        <v>0</v>
      </c>
      <c r="L72" s="29">
        <v>0</v>
      </c>
    </row>
    <row r="73" spans="1:12" s="37" customFormat="1" x14ac:dyDescent="0.3">
      <c r="A73" s="36"/>
      <c r="B73" s="32"/>
      <c r="C73" s="32"/>
      <c r="D73" s="32"/>
      <c r="E73" s="5" t="s">
        <v>156</v>
      </c>
      <c r="F73" s="29"/>
      <c r="G73" s="29"/>
      <c r="H73" s="29"/>
      <c r="I73" s="29"/>
      <c r="J73" s="29"/>
      <c r="K73" s="29"/>
      <c r="L73" s="29"/>
    </row>
    <row r="74" spans="1:12" x14ac:dyDescent="0.3">
      <c r="A74" s="36">
        <v>2321</v>
      </c>
      <c r="B74" s="32" t="s">
        <v>8</v>
      </c>
      <c r="C74" s="32">
        <v>2</v>
      </c>
      <c r="D74" s="32">
        <v>1</v>
      </c>
      <c r="E74" s="5" t="s">
        <v>223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ht="27" x14ac:dyDescent="0.3">
      <c r="A75" s="36">
        <v>2330</v>
      </c>
      <c r="B75" s="32" t="s">
        <v>8</v>
      </c>
      <c r="C75" s="32">
        <v>3</v>
      </c>
      <c r="D75" s="32">
        <v>0</v>
      </c>
      <c r="E75" s="5" t="s">
        <v>224</v>
      </c>
      <c r="F75" s="29">
        <f>SUM(F77:F78)</f>
        <v>0</v>
      </c>
      <c r="G75" s="29">
        <f>SUM(G77:G78)</f>
        <v>0</v>
      </c>
      <c r="H75" s="29">
        <f>SUM(H77:H78)</f>
        <v>0</v>
      </c>
      <c r="I75" s="29">
        <v>0</v>
      </c>
      <c r="J75" s="29">
        <v>0</v>
      </c>
      <c r="K75" s="29">
        <v>0</v>
      </c>
      <c r="L75" s="29">
        <v>0</v>
      </c>
    </row>
    <row r="76" spans="1:12" s="37" customFormat="1" x14ac:dyDescent="0.3">
      <c r="A76" s="36"/>
      <c r="B76" s="32"/>
      <c r="C76" s="32"/>
      <c r="D76" s="32"/>
      <c r="E76" s="5" t="s">
        <v>156</v>
      </c>
      <c r="F76" s="29"/>
      <c r="G76" s="29"/>
      <c r="H76" s="29"/>
      <c r="I76" s="29"/>
      <c r="J76" s="29"/>
      <c r="K76" s="29"/>
      <c r="L76" s="29"/>
    </row>
    <row r="77" spans="1:12" x14ac:dyDescent="0.3">
      <c r="A77" s="36">
        <v>2331</v>
      </c>
      <c r="B77" s="32" t="s">
        <v>8</v>
      </c>
      <c r="C77" s="32">
        <v>3</v>
      </c>
      <c r="D77" s="32">
        <v>1</v>
      </c>
      <c r="E77" s="5" t="s">
        <v>225</v>
      </c>
      <c r="F77" s="29">
        <f>SUM(G77:H77)</f>
        <v>0</v>
      </c>
      <c r="G77" s="29"/>
      <c r="H77" s="29"/>
      <c r="I77" s="29">
        <v>0</v>
      </c>
      <c r="J77" s="29">
        <v>0</v>
      </c>
      <c r="K77" s="29">
        <v>0</v>
      </c>
      <c r="L77" s="29">
        <v>0</v>
      </c>
    </row>
    <row r="78" spans="1:12" x14ac:dyDescent="0.3">
      <c r="A78" s="36">
        <v>2332</v>
      </c>
      <c r="B78" s="32" t="s">
        <v>8</v>
      </c>
      <c r="C78" s="32">
        <v>3</v>
      </c>
      <c r="D78" s="32">
        <v>2</v>
      </c>
      <c r="E78" s="5" t="s">
        <v>226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x14ac:dyDescent="0.3">
      <c r="A79" s="36">
        <v>2340</v>
      </c>
      <c r="B79" s="32" t="s">
        <v>8</v>
      </c>
      <c r="C79" s="32">
        <v>4</v>
      </c>
      <c r="D79" s="32">
        <v>0</v>
      </c>
      <c r="E79" s="5" t="s">
        <v>227</v>
      </c>
      <c r="F79" s="29">
        <f>SUM(F81)</f>
        <v>0</v>
      </c>
      <c r="G79" s="29">
        <f>SUM(G81)</f>
        <v>0</v>
      </c>
      <c r="H79" s="29">
        <f>SUM(H81)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7" customFormat="1" x14ac:dyDescent="0.3">
      <c r="A80" s="36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6">
        <v>2341</v>
      </c>
      <c r="B81" s="32" t="s">
        <v>8</v>
      </c>
      <c r="C81" s="32">
        <v>4</v>
      </c>
      <c r="D81" s="32">
        <v>1</v>
      </c>
      <c r="E81" s="5" t="s">
        <v>227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6">
        <v>2350</v>
      </c>
      <c r="B82" s="32" t="s">
        <v>8</v>
      </c>
      <c r="C82" s="32">
        <v>5</v>
      </c>
      <c r="D82" s="32">
        <v>0</v>
      </c>
      <c r="E82" s="5" t="s">
        <v>228</v>
      </c>
      <c r="F82" s="29">
        <f>SUM(F84)</f>
        <v>0</v>
      </c>
      <c r="G82" s="29">
        <f>SUM(G84)</f>
        <v>0</v>
      </c>
      <c r="H82" s="29">
        <f>SUM(H84)</f>
        <v>0</v>
      </c>
      <c r="I82" s="29">
        <v>0</v>
      </c>
      <c r="J82" s="29">
        <v>0</v>
      </c>
      <c r="K82" s="29">
        <v>0</v>
      </c>
      <c r="L82" s="29">
        <v>0</v>
      </c>
    </row>
    <row r="83" spans="1:12" s="37" customFormat="1" x14ac:dyDescent="0.3">
      <c r="A83" s="36"/>
      <c r="B83" s="32"/>
      <c r="C83" s="32"/>
      <c r="D83" s="32"/>
      <c r="E83" s="5" t="s">
        <v>156</v>
      </c>
      <c r="F83" s="29"/>
      <c r="G83" s="29"/>
      <c r="H83" s="29"/>
      <c r="I83" s="29"/>
      <c r="J83" s="29"/>
      <c r="K83" s="29"/>
      <c r="L83" s="29"/>
    </row>
    <row r="84" spans="1:12" x14ac:dyDescent="0.3">
      <c r="A84" s="36">
        <v>2351</v>
      </c>
      <c r="B84" s="32" t="s">
        <v>8</v>
      </c>
      <c r="C84" s="32">
        <v>5</v>
      </c>
      <c r="D84" s="32">
        <v>1</v>
      </c>
      <c r="E84" s="5" t="s">
        <v>229</v>
      </c>
      <c r="F84" s="29">
        <f>SUM(G84:H84)</f>
        <v>0</v>
      </c>
      <c r="G84" s="29"/>
      <c r="H84" s="29"/>
      <c r="I84" s="29">
        <v>0</v>
      </c>
      <c r="J84" s="29">
        <v>0</v>
      </c>
      <c r="K84" s="29">
        <v>0</v>
      </c>
      <c r="L84" s="29">
        <v>0</v>
      </c>
    </row>
    <row r="85" spans="1:12" ht="40.5" x14ac:dyDescent="0.3">
      <c r="A85" s="36">
        <v>2360</v>
      </c>
      <c r="B85" s="32" t="s">
        <v>8</v>
      </c>
      <c r="C85" s="32">
        <v>6</v>
      </c>
      <c r="D85" s="32">
        <v>0</v>
      </c>
      <c r="E85" s="5" t="s">
        <v>230</v>
      </c>
      <c r="F85" s="29">
        <f>SUM(F87)</f>
        <v>0</v>
      </c>
      <c r="G85" s="29">
        <f>SUM(G87)</f>
        <v>0</v>
      </c>
      <c r="H85" s="29">
        <f>SUM(H87)</f>
        <v>0</v>
      </c>
      <c r="I85" s="29">
        <v>0</v>
      </c>
      <c r="J85" s="29">
        <v>0</v>
      </c>
      <c r="K85" s="29">
        <v>0</v>
      </c>
      <c r="L85" s="29">
        <v>0</v>
      </c>
    </row>
    <row r="86" spans="1:12" s="37" customFormat="1" x14ac:dyDescent="0.3">
      <c r="A86" s="36"/>
      <c r="B86" s="32"/>
      <c r="C86" s="32"/>
      <c r="D86" s="32"/>
      <c r="E86" s="5" t="s">
        <v>156</v>
      </c>
      <c r="F86" s="29"/>
      <c r="G86" s="29"/>
      <c r="H86" s="29"/>
      <c r="I86" s="29"/>
      <c r="J86" s="29"/>
      <c r="K86" s="29"/>
      <c r="L86" s="29"/>
    </row>
    <row r="87" spans="1:12" ht="40.5" x14ac:dyDescent="0.3">
      <c r="A87" s="36">
        <v>2361</v>
      </c>
      <c r="B87" s="32" t="s">
        <v>8</v>
      </c>
      <c r="C87" s="32">
        <v>6</v>
      </c>
      <c r="D87" s="32">
        <v>1</v>
      </c>
      <c r="E87" s="5" t="s">
        <v>230</v>
      </c>
      <c r="F87" s="29">
        <f>SUM(G87:H87)</f>
        <v>0</v>
      </c>
      <c r="G87" s="29"/>
      <c r="H87" s="29"/>
      <c r="I87" s="29">
        <v>0</v>
      </c>
      <c r="J87" s="29">
        <v>0</v>
      </c>
      <c r="K87" s="29">
        <v>0</v>
      </c>
      <c r="L87" s="29">
        <v>0</v>
      </c>
    </row>
    <row r="88" spans="1:12" ht="27" x14ac:dyDescent="0.3">
      <c r="A88" s="36">
        <v>2370</v>
      </c>
      <c r="B88" s="32" t="s">
        <v>8</v>
      </c>
      <c r="C88" s="32">
        <v>7</v>
      </c>
      <c r="D88" s="32">
        <v>0</v>
      </c>
      <c r="E88" s="5" t="s">
        <v>231</v>
      </c>
      <c r="F88" s="29">
        <f>SUM(F90)</f>
        <v>0</v>
      </c>
      <c r="G88" s="29">
        <f>SUM(G90)</f>
        <v>0</v>
      </c>
      <c r="H88" s="29">
        <f>SUM(H90)</f>
        <v>0</v>
      </c>
      <c r="I88" s="29">
        <v>0</v>
      </c>
      <c r="J88" s="29">
        <v>0</v>
      </c>
      <c r="K88" s="29">
        <v>0</v>
      </c>
      <c r="L88" s="29">
        <v>0</v>
      </c>
    </row>
    <row r="89" spans="1:12" s="37" customFormat="1" x14ac:dyDescent="0.3">
      <c r="A89" s="36"/>
      <c r="B89" s="32"/>
      <c r="C89" s="32"/>
      <c r="D89" s="32"/>
      <c r="E89" s="5" t="s">
        <v>156</v>
      </c>
      <c r="F89" s="29"/>
      <c r="G89" s="29"/>
      <c r="H89" s="29"/>
      <c r="I89" s="29"/>
      <c r="J89" s="29"/>
      <c r="K89" s="29"/>
      <c r="L89" s="29"/>
    </row>
    <row r="90" spans="1:12" ht="27" x14ac:dyDescent="0.3">
      <c r="A90" s="36">
        <v>2371</v>
      </c>
      <c r="B90" s="32" t="s">
        <v>8</v>
      </c>
      <c r="C90" s="32">
        <v>7</v>
      </c>
      <c r="D90" s="32">
        <v>1</v>
      </c>
      <c r="E90" s="5" t="s">
        <v>232</v>
      </c>
      <c r="F90" s="29">
        <f>SUM(G90:H90)</f>
        <v>0</v>
      </c>
      <c r="G90" s="29"/>
      <c r="H90" s="29"/>
      <c r="I90" s="29">
        <v>0</v>
      </c>
      <c r="J90" s="29">
        <v>0</v>
      </c>
      <c r="K90" s="29">
        <v>0</v>
      </c>
      <c r="L90" s="29">
        <v>0</v>
      </c>
    </row>
    <row r="91" spans="1:12" s="34" customFormat="1" ht="40.5" x14ac:dyDescent="0.25">
      <c r="A91" s="36">
        <v>2400</v>
      </c>
      <c r="B91" s="32" t="s">
        <v>9</v>
      </c>
      <c r="C91" s="32">
        <v>0</v>
      </c>
      <c r="D91" s="32">
        <v>0</v>
      </c>
      <c r="E91" s="5" t="s">
        <v>233</v>
      </c>
      <c r="F91" s="29">
        <f>+F93+F97+F103+F111+F116+F123+F126+F132+F141</f>
        <v>2672651.529000001</v>
      </c>
      <c r="G91" s="29">
        <f t="shared" ref="G91:L91" si="3">+G93+G97+G103+G111+G116+G123+G126+G132+G141</f>
        <v>334477.2</v>
      </c>
      <c r="H91" s="29">
        <f t="shared" si="3"/>
        <v>2338174.3290000008</v>
      </c>
      <c r="I91" s="29">
        <f t="shared" si="3"/>
        <v>2270897.4398476197</v>
      </c>
      <c r="J91" s="29">
        <f t="shared" si="3"/>
        <v>2361096.7866460318</v>
      </c>
      <c r="K91" s="29">
        <f t="shared" si="3"/>
        <v>2570621.8968190155</v>
      </c>
      <c r="L91" s="29">
        <f t="shared" si="3"/>
        <v>2672651.529000001</v>
      </c>
    </row>
    <row r="92" spans="1:12" x14ac:dyDescent="0.3">
      <c r="A92" s="31"/>
      <c r="B92" s="32"/>
      <c r="C92" s="32"/>
      <c r="D92" s="32"/>
      <c r="E92" s="5" t="s">
        <v>154</v>
      </c>
      <c r="F92" s="29"/>
      <c r="G92" s="29"/>
      <c r="H92" s="29"/>
      <c r="I92" s="29"/>
      <c r="J92" s="29"/>
      <c r="K92" s="29"/>
      <c r="L92" s="29"/>
    </row>
    <row r="93" spans="1:12" ht="27" x14ac:dyDescent="0.3">
      <c r="A93" s="36">
        <v>2410</v>
      </c>
      <c r="B93" s="32" t="s">
        <v>9</v>
      </c>
      <c r="C93" s="32">
        <v>1</v>
      </c>
      <c r="D93" s="32">
        <v>0</v>
      </c>
      <c r="E93" s="5" t="s">
        <v>234</v>
      </c>
      <c r="F93" s="29">
        <f>SUM(F95:F96)</f>
        <v>0</v>
      </c>
      <c r="G93" s="29">
        <f>SUM(G95:G96)</f>
        <v>0</v>
      </c>
      <c r="H93" s="29">
        <f>SUM(H95:H96)</f>
        <v>0</v>
      </c>
      <c r="I93" s="29">
        <v>0</v>
      </c>
      <c r="J93" s="29">
        <v>0</v>
      </c>
      <c r="K93" s="29">
        <v>0</v>
      </c>
      <c r="L93" s="29">
        <v>0</v>
      </c>
    </row>
    <row r="94" spans="1:12" s="37" customFormat="1" x14ac:dyDescent="0.3">
      <c r="A94" s="36"/>
      <c r="B94" s="32"/>
      <c r="C94" s="32"/>
      <c r="D94" s="32"/>
      <c r="E94" s="5" t="s">
        <v>156</v>
      </c>
      <c r="F94" s="29"/>
      <c r="G94" s="29"/>
      <c r="H94" s="29"/>
      <c r="I94" s="29"/>
      <c r="J94" s="29"/>
      <c r="K94" s="29"/>
      <c r="L94" s="29"/>
    </row>
    <row r="95" spans="1:12" ht="27" x14ac:dyDescent="0.3">
      <c r="A95" s="36">
        <v>2411</v>
      </c>
      <c r="B95" s="32" t="s">
        <v>9</v>
      </c>
      <c r="C95" s="32">
        <v>1</v>
      </c>
      <c r="D95" s="32">
        <v>1</v>
      </c>
      <c r="E95" s="5" t="s">
        <v>235</v>
      </c>
      <c r="F95" s="29">
        <f>SUM(G95:H95)</f>
        <v>0</v>
      </c>
      <c r="G95" s="29"/>
      <c r="H95" s="29"/>
      <c r="I95" s="29">
        <v>0</v>
      </c>
      <c r="J95" s="29">
        <v>0</v>
      </c>
      <c r="K95" s="29">
        <v>0</v>
      </c>
      <c r="L95" s="29">
        <v>0</v>
      </c>
    </row>
    <row r="96" spans="1:12" ht="27" x14ac:dyDescent="0.3">
      <c r="A96" s="36">
        <v>2412</v>
      </c>
      <c r="B96" s="32" t="s">
        <v>9</v>
      </c>
      <c r="C96" s="32">
        <v>1</v>
      </c>
      <c r="D96" s="32">
        <v>2</v>
      </c>
      <c r="E96" s="5" t="s">
        <v>236</v>
      </c>
      <c r="F96" s="29">
        <f>SUM(G96:H96)</f>
        <v>0</v>
      </c>
      <c r="G96" s="29"/>
      <c r="H96" s="29"/>
      <c r="I96" s="29">
        <v>0</v>
      </c>
      <c r="J96" s="29">
        <v>0</v>
      </c>
      <c r="K96" s="29">
        <v>0</v>
      </c>
      <c r="L96" s="29">
        <v>0</v>
      </c>
    </row>
    <row r="97" spans="1:12" ht="27" x14ac:dyDescent="0.3">
      <c r="A97" s="36">
        <v>2420</v>
      </c>
      <c r="B97" s="32" t="s">
        <v>9</v>
      </c>
      <c r="C97" s="32">
        <v>2</v>
      </c>
      <c r="D97" s="32">
        <v>0</v>
      </c>
      <c r="E97" s="5" t="s">
        <v>237</v>
      </c>
      <c r="F97" s="29">
        <f>SUM(F99:F102)</f>
        <v>0</v>
      </c>
      <c r="G97" s="29">
        <f>SUM(G99:G102)</f>
        <v>0</v>
      </c>
      <c r="H97" s="29">
        <f>SUM(H99:H102)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7" customFormat="1" x14ac:dyDescent="0.3">
      <c r="A98" s="36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x14ac:dyDescent="0.3">
      <c r="A99" s="36">
        <v>2421</v>
      </c>
      <c r="B99" s="32" t="s">
        <v>9</v>
      </c>
      <c r="C99" s="32">
        <v>2</v>
      </c>
      <c r="D99" s="32">
        <v>1</v>
      </c>
      <c r="E99" s="5" t="s">
        <v>238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x14ac:dyDescent="0.3">
      <c r="A100" s="36">
        <v>2422</v>
      </c>
      <c r="B100" s="32" t="s">
        <v>9</v>
      </c>
      <c r="C100" s="32">
        <v>2</v>
      </c>
      <c r="D100" s="32">
        <v>2</v>
      </c>
      <c r="E100" s="5" t="s">
        <v>239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x14ac:dyDescent="0.3">
      <c r="A101" s="36">
        <v>2423</v>
      </c>
      <c r="B101" s="32" t="s">
        <v>9</v>
      </c>
      <c r="C101" s="32">
        <v>2</v>
      </c>
      <c r="D101" s="32">
        <v>3</v>
      </c>
      <c r="E101" s="5" t="s">
        <v>240</v>
      </c>
      <c r="F101" s="29">
        <f>SUM(G101:H101)</f>
        <v>0</v>
      </c>
      <c r="G101" s="29"/>
      <c r="H101" s="29"/>
      <c r="I101" s="29">
        <v>0</v>
      </c>
      <c r="J101" s="29">
        <v>0</v>
      </c>
      <c r="K101" s="29">
        <v>0</v>
      </c>
      <c r="L101" s="29">
        <v>0</v>
      </c>
    </row>
    <row r="102" spans="1:12" x14ac:dyDescent="0.3">
      <c r="A102" s="36">
        <v>2424</v>
      </c>
      <c r="B102" s="32" t="s">
        <v>9</v>
      </c>
      <c r="C102" s="32">
        <v>2</v>
      </c>
      <c r="D102" s="32">
        <v>4</v>
      </c>
      <c r="E102" s="5" t="s">
        <v>241</v>
      </c>
      <c r="F102" s="29">
        <f>SUM(G102:H102)</f>
        <v>0</v>
      </c>
      <c r="G102" s="29"/>
      <c r="H102" s="29"/>
      <c r="I102" s="29">
        <v>0</v>
      </c>
      <c r="J102" s="29">
        <v>0</v>
      </c>
      <c r="K102" s="29">
        <v>0</v>
      </c>
      <c r="L102" s="29">
        <v>0</v>
      </c>
    </row>
    <row r="103" spans="1:12" x14ac:dyDescent="0.3">
      <c r="A103" s="36">
        <v>2430</v>
      </c>
      <c r="B103" s="32" t="s">
        <v>9</v>
      </c>
      <c r="C103" s="32">
        <v>3</v>
      </c>
      <c r="D103" s="32">
        <v>0</v>
      </c>
      <c r="E103" s="5" t="s">
        <v>242</v>
      </c>
      <c r="F103" s="29">
        <f>SUM(F105:F110)</f>
        <v>0</v>
      </c>
      <c r="G103" s="29">
        <f>SUM(G105:G110)</f>
        <v>0</v>
      </c>
      <c r="H103" s="29">
        <f>SUM(H105:H110)</f>
        <v>0</v>
      </c>
      <c r="I103" s="29">
        <v>0</v>
      </c>
      <c r="J103" s="29">
        <v>0</v>
      </c>
      <c r="K103" s="29">
        <v>0</v>
      </c>
      <c r="L103" s="29">
        <v>0</v>
      </c>
    </row>
    <row r="104" spans="1:12" s="37" customFormat="1" x14ac:dyDescent="0.3">
      <c r="A104" s="36"/>
      <c r="B104" s="32"/>
      <c r="C104" s="32"/>
      <c r="D104" s="32"/>
      <c r="E104" s="5" t="s">
        <v>156</v>
      </c>
      <c r="F104" s="29"/>
      <c r="G104" s="29"/>
      <c r="H104" s="29"/>
      <c r="I104" s="29"/>
      <c r="J104" s="29"/>
      <c r="K104" s="29"/>
      <c r="L104" s="29"/>
    </row>
    <row r="105" spans="1:12" x14ac:dyDescent="0.3">
      <c r="A105" s="36">
        <v>2431</v>
      </c>
      <c r="B105" s="32" t="s">
        <v>9</v>
      </c>
      <c r="C105" s="32">
        <v>3</v>
      </c>
      <c r="D105" s="32">
        <v>1</v>
      </c>
      <c r="E105" s="5" t="s">
        <v>243</v>
      </c>
      <c r="F105" s="29">
        <f t="shared" ref="F105:F110" si="4"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6">
        <v>2432</v>
      </c>
      <c r="B106" s="32" t="s">
        <v>9</v>
      </c>
      <c r="C106" s="32">
        <v>3</v>
      </c>
      <c r="D106" s="32">
        <v>2</v>
      </c>
      <c r="E106" s="5" t="s">
        <v>244</v>
      </c>
      <c r="F106" s="29">
        <f t="shared" si="4"/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6">
        <v>2433</v>
      </c>
      <c r="B107" s="32" t="s">
        <v>9</v>
      </c>
      <c r="C107" s="32">
        <v>3</v>
      </c>
      <c r="D107" s="32">
        <v>3</v>
      </c>
      <c r="E107" s="5" t="s">
        <v>245</v>
      </c>
      <c r="F107" s="29">
        <f t="shared" si="4"/>
        <v>0</v>
      </c>
      <c r="G107" s="29"/>
      <c r="H107" s="29"/>
      <c r="I107" s="29">
        <v>0</v>
      </c>
      <c r="J107" s="29">
        <v>0</v>
      </c>
      <c r="K107" s="29">
        <v>0</v>
      </c>
      <c r="L107" s="29">
        <v>0</v>
      </c>
    </row>
    <row r="108" spans="1:12" x14ac:dyDescent="0.3">
      <c r="A108" s="36">
        <v>2434</v>
      </c>
      <c r="B108" s="32" t="s">
        <v>9</v>
      </c>
      <c r="C108" s="32">
        <v>3</v>
      </c>
      <c r="D108" s="32">
        <v>4</v>
      </c>
      <c r="E108" s="5" t="s">
        <v>246</v>
      </c>
      <c r="F108" s="29">
        <f t="shared" si="4"/>
        <v>0</v>
      </c>
      <c r="G108" s="29"/>
      <c r="H108" s="29"/>
      <c r="I108" s="29">
        <v>0</v>
      </c>
      <c r="J108" s="29">
        <v>0</v>
      </c>
      <c r="K108" s="29">
        <v>0</v>
      </c>
      <c r="L108" s="29">
        <v>0</v>
      </c>
    </row>
    <row r="109" spans="1:12" x14ac:dyDescent="0.3">
      <c r="A109" s="36">
        <v>2435</v>
      </c>
      <c r="B109" s="32" t="s">
        <v>9</v>
      </c>
      <c r="C109" s="32">
        <v>3</v>
      </c>
      <c r="D109" s="32">
        <v>5</v>
      </c>
      <c r="E109" s="5" t="s">
        <v>247</v>
      </c>
      <c r="F109" s="29">
        <f t="shared" si="4"/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6">
        <v>2436</v>
      </c>
      <c r="B110" s="32" t="s">
        <v>9</v>
      </c>
      <c r="C110" s="32">
        <v>3</v>
      </c>
      <c r="D110" s="32">
        <v>6</v>
      </c>
      <c r="E110" s="5" t="s">
        <v>248</v>
      </c>
      <c r="F110" s="29">
        <f t="shared" si="4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ht="27" x14ac:dyDescent="0.3">
      <c r="A111" s="36">
        <v>2440</v>
      </c>
      <c r="B111" s="32" t="s">
        <v>9</v>
      </c>
      <c r="C111" s="32">
        <v>4</v>
      </c>
      <c r="D111" s="32">
        <v>0</v>
      </c>
      <c r="E111" s="5" t="s">
        <v>249</v>
      </c>
      <c r="F111" s="29">
        <f>SUM(F113:F115)</f>
        <v>0</v>
      </c>
      <c r="G111" s="29">
        <f>SUM(G113:G115)</f>
        <v>0</v>
      </c>
      <c r="H111" s="29">
        <f>SUM(H113:H115)</f>
        <v>0</v>
      </c>
      <c r="I111" s="29">
        <v>0</v>
      </c>
      <c r="J111" s="29">
        <v>0</v>
      </c>
      <c r="K111" s="29">
        <v>0</v>
      </c>
      <c r="L111" s="29">
        <v>0</v>
      </c>
    </row>
    <row r="112" spans="1:12" s="37" customFormat="1" x14ac:dyDescent="0.3">
      <c r="A112" s="36"/>
      <c r="B112" s="32"/>
      <c r="C112" s="32"/>
      <c r="D112" s="32"/>
      <c r="E112" s="5" t="s">
        <v>156</v>
      </c>
      <c r="F112" s="29"/>
      <c r="G112" s="29"/>
      <c r="H112" s="29"/>
      <c r="I112" s="29"/>
      <c r="J112" s="29"/>
      <c r="K112" s="29"/>
      <c r="L112" s="29"/>
    </row>
    <row r="113" spans="1:12" ht="27" x14ac:dyDescent="0.3">
      <c r="A113" s="36">
        <v>2441</v>
      </c>
      <c r="B113" s="32" t="s">
        <v>9</v>
      </c>
      <c r="C113" s="32">
        <v>4</v>
      </c>
      <c r="D113" s="32">
        <v>1</v>
      </c>
      <c r="E113" s="5" t="s">
        <v>250</v>
      </c>
      <c r="F113" s="29">
        <f>SUM(G113:H113)</f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6">
        <v>2442</v>
      </c>
      <c r="B114" s="32" t="s">
        <v>9</v>
      </c>
      <c r="C114" s="32">
        <v>4</v>
      </c>
      <c r="D114" s="32">
        <v>2</v>
      </c>
      <c r="E114" s="5" t="s">
        <v>251</v>
      </c>
      <c r="F114" s="29">
        <f>SUM(G114:H114)</f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x14ac:dyDescent="0.3">
      <c r="A115" s="36">
        <v>2443</v>
      </c>
      <c r="B115" s="32" t="s">
        <v>9</v>
      </c>
      <c r="C115" s="32">
        <v>4</v>
      </c>
      <c r="D115" s="32">
        <v>3</v>
      </c>
      <c r="E115" s="5" t="s">
        <v>252</v>
      </c>
      <c r="F115" s="29">
        <f>SUM(G115:H115)</f>
        <v>0</v>
      </c>
      <c r="G115" s="29"/>
      <c r="H115" s="29"/>
      <c r="I115" s="29">
        <v>0</v>
      </c>
      <c r="J115" s="29">
        <v>0</v>
      </c>
      <c r="K115" s="29">
        <v>0</v>
      </c>
      <c r="L115" s="29">
        <v>0</v>
      </c>
    </row>
    <row r="116" spans="1:12" x14ac:dyDescent="0.3">
      <c r="A116" s="36">
        <v>2450</v>
      </c>
      <c r="B116" s="32" t="s">
        <v>9</v>
      </c>
      <c r="C116" s="32">
        <v>5</v>
      </c>
      <c r="D116" s="32">
        <v>0</v>
      </c>
      <c r="E116" s="5" t="s">
        <v>253</v>
      </c>
      <c r="F116" s="29">
        <f t="shared" ref="F116:L116" si="5">+F118</f>
        <v>3522651.529000001</v>
      </c>
      <c r="G116" s="29">
        <f t="shared" si="5"/>
        <v>334477.2</v>
      </c>
      <c r="H116" s="29">
        <f t="shared" si="5"/>
        <v>3188174.3290000008</v>
      </c>
      <c r="I116" s="29">
        <f t="shared" si="5"/>
        <v>2473278.3922285722</v>
      </c>
      <c r="J116" s="29">
        <f t="shared" si="5"/>
        <v>2711500.6857797727</v>
      </c>
      <c r="K116" s="29">
        <f t="shared" si="5"/>
        <v>3151811.0178507618</v>
      </c>
      <c r="L116" s="29">
        <f t="shared" si="5"/>
        <v>3522651.529000001</v>
      </c>
    </row>
    <row r="117" spans="1:12" s="37" customFormat="1" x14ac:dyDescent="0.3">
      <c r="A117" s="36"/>
      <c r="B117" s="32"/>
      <c r="C117" s="32"/>
      <c r="D117" s="32"/>
      <c r="E117" s="5" t="s">
        <v>156</v>
      </c>
      <c r="F117" s="29"/>
      <c r="G117" s="29"/>
      <c r="H117" s="29"/>
      <c r="I117" s="29"/>
      <c r="J117" s="29"/>
      <c r="K117" s="29"/>
      <c r="L117" s="29"/>
    </row>
    <row r="118" spans="1:12" x14ac:dyDescent="0.3">
      <c r="A118" s="36">
        <v>2451</v>
      </c>
      <c r="B118" s="32" t="s">
        <v>9</v>
      </c>
      <c r="C118" s="32">
        <v>5</v>
      </c>
      <c r="D118" s="32">
        <v>1</v>
      </c>
      <c r="E118" s="5" t="s">
        <v>254</v>
      </c>
      <c r="F118" s="29">
        <f>+'4.Gorcarakan ev tntesagitakan'!H277</f>
        <v>3522651.529000001</v>
      </c>
      <c r="G118" s="29">
        <f>+'4.Gorcarakan ev tntesagitakan'!I277</f>
        <v>334477.2</v>
      </c>
      <c r="H118" s="29">
        <f>+'4.Gorcarakan ev tntesagitakan'!J277</f>
        <v>3188174.3290000008</v>
      </c>
      <c r="I118" s="29">
        <f>+'4.Gorcarakan ev tntesagitakan'!K277</f>
        <v>2473278.3922285722</v>
      </c>
      <c r="J118" s="29">
        <f>+'4.Gorcarakan ev tntesagitakan'!L277</f>
        <v>2711500.6857797727</v>
      </c>
      <c r="K118" s="29">
        <f>+'4.Gorcarakan ev tntesagitakan'!M277</f>
        <v>3151811.0178507618</v>
      </c>
      <c r="L118" s="29">
        <f>+'4.Gorcarakan ev tntesagitakan'!N277</f>
        <v>3522651.529000001</v>
      </c>
    </row>
    <row r="119" spans="1:12" x14ac:dyDescent="0.3">
      <c r="A119" s="36">
        <v>2452</v>
      </c>
      <c r="B119" s="32" t="s">
        <v>9</v>
      </c>
      <c r="C119" s="32">
        <v>5</v>
      </c>
      <c r="D119" s="32">
        <v>2</v>
      </c>
      <c r="E119" s="5" t="s">
        <v>255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6">
        <v>2453</v>
      </c>
      <c r="B120" s="32" t="s">
        <v>9</v>
      </c>
      <c r="C120" s="32">
        <v>5</v>
      </c>
      <c r="D120" s="32">
        <v>3</v>
      </c>
      <c r="E120" s="5" t="s">
        <v>256</v>
      </c>
      <c r="F120" s="29">
        <f>SUM(G120:H120)</f>
        <v>0</v>
      </c>
      <c r="G120" s="29"/>
      <c r="H120" s="29"/>
      <c r="I120" s="29">
        <v>0</v>
      </c>
      <c r="J120" s="29">
        <v>0</v>
      </c>
      <c r="K120" s="29">
        <v>0</v>
      </c>
      <c r="L120" s="29">
        <v>0</v>
      </c>
    </row>
    <row r="121" spans="1:12" x14ac:dyDescent="0.3">
      <c r="A121" s="36">
        <v>2454</v>
      </c>
      <c r="B121" s="32" t="s">
        <v>9</v>
      </c>
      <c r="C121" s="32">
        <v>5</v>
      </c>
      <c r="D121" s="32">
        <v>4</v>
      </c>
      <c r="E121" s="5" t="s">
        <v>257</v>
      </c>
      <c r="F121" s="29">
        <f>SUM(G121:H121)</f>
        <v>0</v>
      </c>
      <c r="G121" s="29"/>
      <c r="H121" s="29"/>
      <c r="I121" s="29">
        <v>0</v>
      </c>
      <c r="J121" s="29">
        <v>0</v>
      </c>
      <c r="K121" s="29">
        <v>0</v>
      </c>
      <c r="L121" s="29">
        <v>0</v>
      </c>
    </row>
    <row r="122" spans="1:12" x14ac:dyDescent="0.3">
      <c r="A122" s="36">
        <v>2455</v>
      </c>
      <c r="B122" s="32" t="s">
        <v>9</v>
      </c>
      <c r="C122" s="32">
        <v>5</v>
      </c>
      <c r="D122" s="32">
        <v>5</v>
      </c>
      <c r="E122" s="5" t="s">
        <v>258</v>
      </c>
      <c r="F122" s="29">
        <f>SUM(G122:H122)</f>
        <v>0</v>
      </c>
      <c r="G122" s="29"/>
      <c r="H122" s="29"/>
      <c r="I122" s="29">
        <v>0</v>
      </c>
      <c r="J122" s="29">
        <v>0</v>
      </c>
      <c r="K122" s="29">
        <v>0</v>
      </c>
      <c r="L122" s="29">
        <v>0</v>
      </c>
    </row>
    <row r="123" spans="1:12" x14ac:dyDescent="0.3">
      <c r="A123" s="36">
        <v>2460</v>
      </c>
      <c r="B123" s="32" t="s">
        <v>9</v>
      </c>
      <c r="C123" s="32">
        <v>6</v>
      </c>
      <c r="D123" s="32">
        <v>0</v>
      </c>
      <c r="E123" s="5" t="s">
        <v>259</v>
      </c>
      <c r="F123" s="29">
        <f>SUM(F125)</f>
        <v>0</v>
      </c>
      <c r="G123" s="29">
        <f>SUM(G125)</f>
        <v>0</v>
      </c>
      <c r="H123" s="29">
        <f>SUM(H125)</f>
        <v>0</v>
      </c>
      <c r="I123" s="29">
        <v>0</v>
      </c>
      <c r="J123" s="29">
        <v>0</v>
      </c>
      <c r="K123" s="29">
        <v>0</v>
      </c>
      <c r="L123" s="29">
        <v>0</v>
      </c>
    </row>
    <row r="124" spans="1:12" s="37" customFormat="1" x14ac:dyDescent="0.3">
      <c r="A124" s="36"/>
      <c r="B124" s="32"/>
      <c r="C124" s="32"/>
      <c r="D124" s="32"/>
      <c r="E124" s="5" t="s">
        <v>156</v>
      </c>
      <c r="F124" s="29"/>
      <c r="G124" s="29"/>
      <c r="H124" s="29"/>
      <c r="I124" s="29"/>
      <c r="J124" s="29"/>
      <c r="K124" s="29"/>
      <c r="L124" s="29"/>
    </row>
    <row r="125" spans="1:12" x14ac:dyDescent="0.3">
      <c r="A125" s="36">
        <v>2461</v>
      </c>
      <c r="B125" s="32" t="s">
        <v>9</v>
      </c>
      <c r="C125" s="32">
        <v>6</v>
      </c>
      <c r="D125" s="32">
        <v>1</v>
      </c>
      <c r="E125" s="5" t="s">
        <v>260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6">
        <v>2470</v>
      </c>
      <c r="B126" s="32" t="s">
        <v>9</v>
      </c>
      <c r="C126" s="32">
        <v>7</v>
      </c>
      <c r="D126" s="32">
        <v>0</v>
      </c>
      <c r="E126" s="5" t="s">
        <v>261</v>
      </c>
      <c r="F126" s="29">
        <f>SUM(F128:F131)</f>
        <v>0</v>
      </c>
      <c r="G126" s="29">
        <f>SUM(G128:G131)</f>
        <v>0</v>
      </c>
      <c r="H126" s="29">
        <f>SUM(H128:H131)</f>
        <v>0</v>
      </c>
      <c r="I126" s="29">
        <v>0</v>
      </c>
      <c r="J126" s="29">
        <v>0</v>
      </c>
      <c r="K126" s="29">
        <v>0</v>
      </c>
      <c r="L126" s="29">
        <v>0</v>
      </c>
    </row>
    <row r="127" spans="1:12" s="37" customFormat="1" x14ac:dyDescent="0.3">
      <c r="A127" s="36"/>
      <c r="B127" s="32"/>
      <c r="C127" s="32"/>
      <c r="D127" s="32"/>
      <c r="E127" s="5" t="s">
        <v>156</v>
      </c>
      <c r="F127" s="29"/>
      <c r="G127" s="29"/>
      <c r="H127" s="29"/>
      <c r="I127" s="29"/>
      <c r="J127" s="29"/>
      <c r="K127" s="29"/>
      <c r="L127" s="29"/>
    </row>
    <row r="128" spans="1:12" ht="27" x14ac:dyDescent="0.3">
      <c r="A128" s="36">
        <v>2471</v>
      </c>
      <c r="B128" s="32" t="s">
        <v>9</v>
      </c>
      <c r="C128" s="32">
        <v>7</v>
      </c>
      <c r="D128" s="32">
        <v>1</v>
      </c>
      <c r="E128" s="5" t="s">
        <v>262</v>
      </c>
      <c r="F128" s="29">
        <f>SUM(G128:H128)</f>
        <v>0</v>
      </c>
      <c r="G128" s="29"/>
      <c r="H128" s="29"/>
      <c r="I128" s="29">
        <v>0</v>
      </c>
      <c r="J128" s="29">
        <v>0</v>
      </c>
      <c r="K128" s="29">
        <v>0</v>
      </c>
      <c r="L128" s="29">
        <v>0</v>
      </c>
    </row>
    <row r="129" spans="1:12" x14ac:dyDescent="0.3">
      <c r="A129" s="36">
        <v>2472</v>
      </c>
      <c r="B129" s="32" t="s">
        <v>9</v>
      </c>
      <c r="C129" s="32">
        <v>7</v>
      </c>
      <c r="D129" s="32">
        <v>2</v>
      </c>
      <c r="E129" s="5" t="s">
        <v>263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6">
        <v>2473</v>
      </c>
      <c r="B130" s="32" t="s">
        <v>9</v>
      </c>
      <c r="C130" s="32">
        <v>7</v>
      </c>
      <c r="D130" s="32">
        <v>3</v>
      </c>
      <c r="E130" s="5" t="s">
        <v>264</v>
      </c>
      <c r="F130" s="29">
        <f>SUM(G130:H130)</f>
        <v>0</v>
      </c>
      <c r="G130" s="29"/>
      <c r="H130" s="29"/>
      <c r="I130" s="29">
        <v>0</v>
      </c>
      <c r="J130" s="29">
        <v>0</v>
      </c>
      <c r="K130" s="29">
        <v>0</v>
      </c>
      <c r="L130" s="29">
        <v>0</v>
      </c>
    </row>
    <row r="131" spans="1:12" x14ac:dyDescent="0.3">
      <c r="A131" s="36">
        <v>2474</v>
      </c>
      <c r="B131" s="32" t="s">
        <v>9</v>
      </c>
      <c r="C131" s="32">
        <v>7</v>
      </c>
      <c r="D131" s="32">
        <v>4</v>
      </c>
      <c r="E131" s="5" t="s">
        <v>265</v>
      </c>
      <c r="F131" s="29">
        <f>SUM(G131:H131)</f>
        <v>0</v>
      </c>
      <c r="G131" s="29"/>
      <c r="H131" s="29"/>
      <c r="I131" s="29">
        <v>0</v>
      </c>
      <c r="J131" s="29">
        <v>0</v>
      </c>
      <c r="K131" s="29">
        <v>0</v>
      </c>
      <c r="L131" s="29">
        <v>0</v>
      </c>
    </row>
    <row r="132" spans="1:12" ht="27" x14ac:dyDescent="0.3">
      <c r="A132" s="36">
        <v>2480</v>
      </c>
      <c r="B132" s="32" t="s">
        <v>9</v>
      </c>
      <c r="C132" s="32">
        <v>8</v>
      </c>
      <c r="D132" s="32">
        <v>0</v>
      </c>
      <c r="E132" s="5" t="s">
        <v>266</v>
      </c>
      <c r="F132" s="29">
        <f>SUM(F134:F140)</f>
        <v>0</v>
      </c>
      <c r="G132" s="29">
        <f>SUM(G134:G140)</f>
        <v>0</v>
      </c>
      <c r="H132" s="29">
        <f>SUM(H134:H140)</f>
        <v>0</v>
      </c>
      <c r="I132" s="29">
        <v>0</v>
      </c>
      <c r="J132" s="29">
        <v>0</v>
      </c>
      <c r="K132" s="29">
        <v>0</v>
      </c>
      <c r="L132" s="29">
        <v>0</v>
      </c>
    </row>
    <row r="133" spans="1:12" s="37" customFormat="1" x14ac:dyDescent="0.3">
      <c r="A133" s="36"/>
      <c r="B133" s="32"/>
      <c r="C133" s="32"/>
      <c r="D133" s="32"/>
      <c r="E133" s="5" t="s">
        <v>156</v>
      </c>
      <c r="F133" s="29"/>
      <c r="G133" s="29"/>
      <c r="H133" s="29"/>
      <c r="I133" s="29"/>
      <c r="J133" s="29"/>
      <c r="K133" s="29"/>
      <c r="L133" s="29"/>
    </row>
    <row r="134" spans="1:12" ht="40.5" x14ac:dyDescent="0.3">
      <c r="A134" s="36">
        <v>2481</v>
      </c>
      <c r="B134" s="32" t="s">
        <v>9</v>
      </c>
      <c r="C134" s="32">
        <v>8</v>
      </c>
      <c r="D134" s="32">
        <v>1</v>
      </c>
      <c r="E134" s="5" t="s">
        <v>267</v>
      </c>
      <c r="F134" s="29">
        <f t="shared" ref="F134:F140" si="6"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ht="40.5" x14ac:dyDescent="0.3">
      <c r="A135" s="36">
        <v>2482</v>
      </c>
      <c r="B135" s="32" t="s">
        <v>9</v>
      </c>
      <c r="C135" s="32">
        <v>8</v>
      </c>
      <c r="D135" s="32">
        <v>2</v>
      </c>
      <c r="E135" s="5" t="s">
        <v>268</v>
      </c>
      <c r="F135" s="29">
        <f t="shared" si="6"/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6">
        <v>2483</v>
      </c>
      <c r="B136" s="32" t="s">
        <v>9</v>
      </c>
      <c r="C136" s="32">
        <v>8</v>
      </c>
      <c r="D136" s="32">
        <v>3</v>
      </c>
      <c r="E136" s="5" t="s">
        <v>269</v>
      </c>
      <c r="F136" s="29">
        <f t="shared" si="6"/>
        <v>0</v>
      </c>
      <c r="G136" s="29"/>
      <c r="H136" s="29"/>
      <c r="I136" s="29">
        <v>0</v>
      </c>
      <c r="J136" s="29">
        <v>0</v>
      </c>
      <c r="K136" s="29">
        <v>0</v>
      </c>
      <c r="L136" s="29">
        <v>0</v>
      </c>
    </row>
    <row r="137" spans="1:12" ht="40.5" x14ac:dyDescent="0.3">
      <c r="A137" s="36">
        <v>2484</v>
      </c>
      <c r="B137" s="32" t="s">
        <v>9</v>
      </c>
      <c r="C137" s="32">
        <v>8</v>
      </c>
      <c r="D137" s="32">
        <v>4</v>
      </c>
      <c r="E137" s="5" t="s">
        <v>270</v>
      </c>
      <c r="F137" s="29">
        <f t="shared" si="6"/>
        <v>0</v>
      </c>
      <c r="G137" s="29"/>
      <c r="H137" s="29"/>
      <c r="I137" s="29">
        <v>0</v>
      </c>
      <c r="J137" s="29">
        <v>0</v>
      </c>
      <c r="K137" s="29">
        <v>0</v>
      </c>
      <c r="L137" s="29">
        <v>0</v>
      </c>
    </row>
    <row r="138" spans="1:12" ht="27" x14ac:dyDescent="0.3">
      <c r="A138" s="36">
        <v>2485</v>
      </c>
      <c r="B138" s="32" t="s">
        <v>9</v>
      </c>
      <c r="C138" s="32">
        <v>8</v>
      </c>
      <c r="D138" s="32">
        <v>5</v>
      </c>
      <c r="E138" s="5" t="s">
        <v>271</v>
      </c>
      <c r="F138" s="29">
        <f t="shared" si="6"/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27" x14ac:dyDescent="0.3">
      <c r="A139" s="36">
        <v>2486</v>
      </c>
      <c r="B139" s="32" t="s">
        <v>9</v>
      </c>
      <c r="C139" s="32">
        <v>8</v>
      </c>
      <c r="D139" s="32">
        <v>6</v>
      </c>
      <c r="E139" s="5" t="s">
        <v>272</v>
      </c>
      <c r="F139" s="29">
        <f t="shared" si="6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6">
        <v>2487</v>
      </c>
      <c r="B140" s="32" t="s">
        <v>9</v>
      </c>
      <c r="C140" s="32">
        <v>8</v>
      </c>
      <c r="D140" s="32">
        <v>7</v>
      </c>
      <c r="E140" s="5" t="s">
        <v>273</v>
      </c>
      <c r="F140" s="29">
        <f t="shared" si="6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27" x14ac:dyDescent="0.3">
      <c r="A141" s="36">
        <v>2490</v>
      </c>
      <c r="B141" s="32" t="s">
        <v>9</v>
      </c>
      <c r="C141" s="32">
        <v>9</v>
      </c>
      <c r="D141" s="32">
        <v>0</v>
      </c>
      <c r="E141" s="5" t="s">
        <v>274</v>
      </c>
      <c r="F141" s="29">
        <f>+F143</f>
        <v>-850000</v>
      </c>
      <c r="G141" s="29"/>
      <c r="H141" s="29">
        <f>+H143</f>
        <v>-850000</v>
      </c>
      <c r="I141" s="29">
        <f>+I143</f>
        <v>-202380.95238095237</v>
      </c>
      <c r="J141" s="29">
        <f>+J143</f>
        <v>-350403.89913374081</v>
      </c>
      <c r="K141" s="29">
        <f>+K143</f>
        <v>-581189.12103174627</v>
      </c>
      <c r="L141" s="29">
        <f>+L143</f>
        <v>-850000</v>
      </c>
    </row>
    <row r="142" spans="1:12" s="37" customFormat="1" x14ac:dyDescent="0.3">
      <c r="A142" s="36"/>
      <c r="B142" s="32"/>
      <c r="C142" s="32"/>
      <c r="D142" s="32"/>
      <c r="E142" s="5" t="s">
        <v>156</v>
      </c>
      <c r="F142" s="29"/>
      <c r="G142" s="29"/>
      <c r="H142" s="29"/>
      <c r="I142" s="29"/>
      <c r="J142" s="29"/>
      <c r="K142" s="29"/>
      <c r="L142" s="29"/>
    </row>
    <row r="143" spans="1:12" ht="27" x14ac:dyDescent="0.3">
      <c r="A143" s="36">
        <v>2491</v>
      </c>
      <c r="B143" s="32" t="s">
        <v>9</v>
      </c>
      <c r="C143" s="32">
        <v>9</v>
      </c>
      <c r="D143" s="32">
        <v>1</v>
      </c>
      <c r="E143" s="5" t="s">
        <v>274</v>
      </c>
      <c r="F143" s="29">
        <f>+'4.Gorcarakan ev tntesagitakan'!H346</f>
        <v>-850000</v>
      </c>
      <c r="G143" s="29"/>
      <c r="H143" s="29">
        <f>+'4.Gorcarakan ev tntesagitakan'!J346</f>
        <v>-850000</v>
      </c>
      <c r="I143" s="29">
        <f>+'4.Gorcarakan ev tntesagitakan'!K346</f>
        <v>-202380.95238095237</v>
      </c>
      <c r="J143" s="29">
        <f>+'4.Gorcarakan ev tntesagitakan'!L346</f>
        <v>-350403.89913374081</v>
      </c>
      <c r="K143" s="29">
        <f>+'4.Gorcarakan ev tntesagitakan'!M346</f>
        <v>-581189.12103174627</v>
      </c>
      <c r="L143" s="29">
        <f>+'4.Gorcarakan ev tntesagitakan'!N346</f>
        <v>-850000</v>
      </c>
    </row>
    <row r="144" spans="1:12" s="34" customFormat="1" ht="40.5" x14ac:dyDescent="0.25">
      <c r="A144" s="36">
        <v>2500</v>
      </c>
      <c r="B144" s="32" t="s">
        <v>10</v>
      </c>
      <c r="C144" s="32">
        <v>0</v>
      </c>
      <c r="D144" s="32">
        <v>0</v>
      </c>
      <c r="E144" s="5" t="s">
        <v>275</v>
      </c>
      <c r="F144" s="29">
        <f>+F146+F149+F152+F155+F158+F161</f>
        <v>1090415.352</v>
      </c>
      <c r="G144" s="29">
        <f t="shared" ref="G144:L144" si="7">+G146+G149+G152+G155+G158+G161</f>
        <v>954259.80299999996</v>
      </c>
      <c r="H144" s="29">
        <f t="shared" si="7"/>
        <v>136155.549</v>
      </c>
      <c r="I144" s="29">
        <f t="shared" si="7"/>
        <v>340175.35961866664</v>
      </c>
      <c r="J144" s="29">
        <f t="shared" si="7"/>
        <v>583168.46069841273</v>
      </c>
      <c r="K144" s="29">
        <f t="shared" si="7"/>
        <v>840116.39892063499</v>
      </c>
      <c r="L144" s="29">
        <f t="shared" si="7"/>
        <v>1090415.352</v>
      </c>
    </row>
    <row r="145" spans="1:12" x14ac:dyDescent="0.3">
      <c r="A145" s="31"/>
      <c r="B145" s="32"/>
      <c r="C145" s="32"/>
      <c r="D145" s="32"/>
      <c r="E145" s="5" t="s">
        <v>154</v>
      </c>
      <c r="F145" s="29"/>
      <c r="G145" s="29"/>
      <c r="H145" s="29"/>
      <c r="I145" s="29"/>
      <c r="J145" s="29"/>
      <c r="K145" s="29"/>
      <c r="L145" s="29"/>
    </row>
    <row r="146" spans="1:12" x14ac:dyDescent="0.3">
      <c r="A146" s="36">
        <v>2510</v>
      </c>
      <c r="B146" s="32" t="s">
        <v>10</v>
      </c>
      <c r="C146" s="32">
        <v>1</v>
      </c>
      <c r="D146" s="32">
        <v>0</v>
      </c>
      <c r="E146" s="5" t="s">
        <v>276</v>
      </c>
      <c r="F146" s="29">
        <f>+F148</f>
        <v>758484.15999999992</v>
      </c>
      <c r="G146" s="29">
        <f t="shared" ref="G146:L146" si="8">+G148</f>
        <v>756484.15999999992</v>
      </c>
      <c r="H146" s="29">
        <f t="shared" si="8"/>
        <v>2000</v>
      </c>
      <c r="I146" s="29">
        <f t="shared" si="8"/>
        <v>185218.16666666666</v>
      </c>
      <c r="J146" s="29">
        <f t="shared" si="8"/>
        <v>368819.49111111125</v>
      </c>
      <c r="K146" s="29">
        <f t="shared" si="8"/>
        <v>567470.10444444453</v>
      </c>
      <c r="L146" s="29">
        <f t="shared" si="8"/>
        <v>758484.15999999992</v>
      </c>
    </row>
    <row r="147" spans="1:12" s="37" customFormat="1" x14ac:dyDescent="0.3">
      <c r="A147" s="36"/>
      <c r="B147" s="32"/>
      <c r="C147" s="32"/>
      <c r="D147" s="32"/>
      <c r="E147" s="5" t="s">
        <v>156</v>
      </c>
      <c r="F147" s="29"/>
      <c r="G147" s="29"/>
      <c r="H147" s="29"/>
      <c r="I147" s="29"/>
      <c r="J147" s="29"/>
      <c r="K147" s="29"/>
      <c r="L147" s="29"/>
    </row>
    <row r="148" spans="1:12" x14ac:dyDescent="0.3">
      <c r="A148" s="36">
        <v>2511</v>
      </c>
      <c r="B148" s="32" t="s">
        <v>10</v>
      </c>
      <c r="C148" s="32">
        <v>1</v>
      </c>
      <c r="D148" s="32">
        <v>1</v>
      </c>
      <c r="E148" s="5" t="s">
        <v>276</v>
      </c>
      <c r="F148" s="29">
        <f>+'4.Gorcarakan ev tntesagitakan'!H354</f>
        <v>758484.15999999992</v>
      </c>
      <c r="G148" s="29">
        <f>+'4.Gorcarakan ev tntesagitakan'!I354</f>
        <v>756484.15999999992</v>
      </c>
      <c r="H148" s="29">
        <f>+'4.Gorcarakan ev tntesagitakan'!J354</f>
        <v>2000</v>
      </c>
      <c r="I148" s="29">
        <f>+'4.Gorcarakan ev tntesagitakan'!K354</f>
        <v>185218.16666666666</v>
      </c>
      <c r="J148" s="29">
        <f>+'4.Gorcarakan ev tntesagitakan'!L354</f>
        <v>368819.49111111125</v>
      </c>
      <c r="K148" s="29">
        <f>+'4.Gorcarakan ev tntesagitakan'!M354</f>
        <v>567470.10444444453</v>
      </c>
      <c r="L148" s="29">
        <f>+'4.Gorcarakan ev tntesagitakan'!N354</f>
        <v>758484.15999999992</v>
      </c>
    </row>
    <row r="149" spans="1:12" x14ac:dyDescent="0.3">
      <c r="A149" s="36">
        <v>2520</v>
      </c>
      <c r="B149" s="32" t="s">
        <v>10</v>
      </c>
      <c r="C149" s="32">
        <v>2</v>
      </c>
      <c r="D149" s="32">
        <v>0</v>
      </c>
      <c r="E149" s="5" t="s">
        <v>277</v>
      </c>
      <c r="F149" s="29">
        <f>SUM(F151)</f>
        <v>0</v>
      </c>
      <c r="G149" s="29">
        <f>SUM(G151)</f>
        <v>0</v>
      </c>
      <c r="H149" s="29">
        <f>SUM(H151)</f>
        <v>0</v>
      </c>
      <c r="I149" s="29">
        <v>0</v>
      </c>
      <c r="J149" s="29">
        <v>0</v>
      </c>
      <c r="K149" s="29">
        <v>0</v>
      </c>
      <c r="L149" s="29">
        <v>0</v>
      </c>
    </row>
    <row r="150" spans="1:12" s="37" customFormat="1" x14ac:dyDescent="0.3">
      <c r="A150" s="36"/>
      <c r="B150" s="32"/>
      <c r="C150" s="32"/>
      <c r="D150" s="32"/>
      <c r="E150" s="5" t="s">
        <v>156</v>
      </c>
      <c r="F150" s="29"/>
      <c r="G150" s="29"/>
      <c r="H150" s="29"/>
      <c r="I150" s="29"/>
      <c r="J150" s="29"/>
      <c r="K150" s="29"/>
      <c r="L150" s="29"/>
    </row>
    <row r="151" spans="1:12" x14ac:dyDescent="0.3">
      <c r="A151" s="36">
        <v>2521</v>
      </c>
      <c r="B151" s="32" t="s">
        <v>10</v>
      </c>
      <c r="C151" s="32">
        <v>2</v>
      </c>
      <c r="D151" s="32">
        <v>1</v>
      </c>
      <c r="E151" s="5" t="s">
        <v>278</v>
      </c>
      <c r="F151" s="29">
        <f>SUM(G151:H151)</f>
        <v>0</v>
      </c>
      <c r="G151" s="29"/>
      <c r="H151" s="29"/>
      <c r="I151" s="29">
        <v>0</v>
      </c>
      <c r="J151" s="29">
        <v>0</v>
      </c>
      <c r="K151" s="29">
        <v>0</v>
      </c>
      <c r="L151" s="29">
        <v>0</v>
      </c>
    </row>
    <row r="152" spans="1:12" x14ac:dyDescent="0.3">
      <c r="A152" s="36">
        <v>2530</v>
      </c>
      <c r="B152" s="32" t="s">
        <v>10</v>
      </c>
      <c r="C152" s="32">
        <v>3</v>
      </c>
      <c r="D152" s="32">
        <v>0</v>
      </c>
      <c r="E152" s="5" t="s">
        <v>279</v>
      </c>
      <c r="F152" s="29">
        <f>SUM(F154)</f>
        <v>0</v>
      </c>
      <c r="G152" s="29">
        <f>SUM(G154)</f>
        <v>0</v>
      </c>
      <c r="H152" s="29">
        <f>SUM(H154)</f>
        <v>0</v>
      </c>
      <c r="I152" s="29">
        <v>0</v>
      </c>
      <c r="J152" s="29">
        <v>0</v>
      </c>
      <c r="K152" s="29">
        <v>0</v>
      </c>
      <c r="L152" s="29">
        <v>0</v>
      </c>
    </row>
    <row r="153" spans="1:12" s="37" customFormat="1" x14ac:dyDescent="0.3">
      <c r="A153" s="36"/>
      <c r="B153" s="32"/>
      <c r="C153" s="32"/>
      <c r="D153" s="32"/>
      <c r="E153" s="5" t="s">
        <v>156</v>
      </c>
      <c r="F153" s="29"/>
      <c r="G153" s="29"/>
      <c r="H153" s="29"/>
      <c r="I153" s="29"/>
      <c r="J153" s="29"/>
      <c r="K153" s="29"/>
      <c r="L153" s="29"/>
    </row>
    <row r="154" spans="1:12" x14ac:dyDescent="0.3">
      <c r="A154" s="36">
        <v>2531</v>
      </c>
      <c r="B154" s="32" t="s">
        <v>10</v>
      </c>
      <c r="C154" s="32">
        <v>3</v>
      </c>
      <c r="D154" s="32">
        <v>1</v>
      </c>
      <c r="E154" s="5" t="s">
        <v>279</v>
      </c>
      <c r="F154" s="29">
        <f>SUM(G154:H154)</f>
        <v>0</v>
      </c>
      <c r="G154" s="29"/>
      <c r="H154" s="29"/>
      <c r="I154" s="29">
        <v>0</v>
      </c>
      <c r="J154" s="29">
        <v>0</v>
      </c>
      <c r="K154" s="29">
        <v>0</v>
      </c>
      <c r="L154" s="29">
        <v>0</v>
      </c>
    </row>
    <row r="155" spans="1:12" ht="27" x14ac:dyDescent="0.3">
      <c r="A155" s="36">
        <v>2540</v>
      </c>
      <c r="B155" s="32" t="s">
        <v>10</v>
      </c>
      <c r="C155" s="32">
        <v>4</v>
      </c>
      <c r="D155" s="32">
        <v>0</v>
      </c>
      <c r="E155" s="5" t="s">
        <v>280</v>
      </c>
      <c r="F155" s="29">
        <f>SUM(F157)</f>
        <v>0</v>
      </c>
      <c r="G155" s="29">
        <f>SUM(G157)</f>
        <v>0</v>
      </c>
      <c r="H155" s="29">
        <f>SUM(H157)</f>
        <v>0</v>
      </c>
      <c r="I155" s="29">
        <v>0</v>
      </c>
      <c r="J155" s="29">
        <v>0</v>
      </c>
      <c r="K155" s="29">
        <v>0</v>
      </c>
      <c r="L155" s="29">
        <v>0</v>
      </c>
    </row>
    <row r="156" spans="1:12" s="37" customFormat="1" x14ac:dyDescent="0.3">
      <c r="A156" s="36"/>
      <c r="B156" s="32"/>
      <c r="C156" s="32"/>
      <c r="D156" s="32"/>
      <c r="E156" s="5" t="s">
        <v>156</v>
      </c>
      <c r="F156" s="29"/>
      <c r="G156" s="29"/>
      <c r="H156" s="29"/>
      <c r="I156" s="29"/>
      <c r="J156" s="29"/>
      <c r="K156" s="29"/>
      <c r="L156" s="29"/>
    </row>
    <row r="157" spans="1:12" ht="27" x14ac:dyDescent="0.3">
      <c r="A157" s="36">
        <v>2541</v>
      </c>
      <c r="B157" s="32" t="s">
        <v>10</v>
      </c>
      <c r="C157" s="32">
        <v>4</v>
      </c>
      <c r="D157" s="32">
        <v>1</v>
      </c>
      <c r="E157" s="5" t="s">
        <v>280</v>
      </c>
      <c r="F157" s="29">
        <f>SUM(G157:H157)</f>
        <v>0</v>
      </c>
      <c r="G157" s="29"/>
      <c r="H157" s="29"/>
      <c r="I157" s="29">
        <v>0</v>
      </c>
      <c r="J157" s="29">
        <v>0</v>
      </c>
      <c r="K157" s="29">
        <v>0</v>
      </c>
      <c r="L157" s="29">
        <v>0</v>
      </c>
    </row>
    <row r="158" spans="1:12" ht="27" x14ac:dyDescent="0.3">
      <c r="A158" s="36">
        <v>2550</v>
      </c>
      <c r="B158" s="32" t="s">
        <v>10</v>
      </c>
      <c r="C158" s="32">
        <v>5</v>
      </c>
      <c r="D158" s="32">
        <v>0</v>
      </c>
      <c r="E158" s="5" t="s">
        <v>281</v>
      </c>
      <c r="F158" s="29">
        <f>SUM(F160)</f>
        <v>0</v>
      </c>
      <c r="G158" s="29">
        <f>SUM(G160)</f>
        <v>0</v>
      </c>
      <c r="H158" s="29">
        <f>SUM(H160)</f>
        <v>0</v>
      </c>
      <c r="I158" s="29">
        <v>0</v>
      </c>
      <c r="J158" s="29">
        <v>0</v>
      </c>
      <c r="K158" s="29">
        <v>0</v>
      </c>
      <c r="L158" s="29">
        <v>0</v>
      </c>
    </row>
    <row r="159" spans="1:12" s="37" customFormat="1" x14ac:dyDescent="0.3">
      <c r="A159" s="36"/>
      <c r="B159" s="32"/>
      <c r="C159" s="32"/>
      <c r="D159" s="32"/>
      <c r="E159" s="5" t="s">
        <v>156</v>
      </c>
      <c r="F159" s="29"/>
      <c r="G159" s="29"/>
      <c r="H159" s="29"/>
      <c r="I159" s="29"/>
      <c r="J159" s="29"/>
      <c r="K159" s="29"/>
      <c r="L159" s="29"/>
    </row>
    <row r="160" spans="1:12" ht="27" x14ac:dyDescent="0.3">
      <c r="A160" s="36">
        <v>2551</v>
      </c>
      <c r="B160" s="32" t="s">
        <v>10</v>
      </c>
      <c r="C160" s="32">
        <v>5</v>
      </c>
      <c r="D160" s="32">
        <v>1</v>
      </c>
      <c r="E160" s="5" t="s">
        <v>281</v>
      </c>
      <c r="F160" s="29">
        <f>SUM(G160:H160)</f>
        <v>0</v>
      </c>
      <c r="G160" s="29"/>
      <c r="H160" s="29"/>
      <c r="I160" s="29">
        <v>0</v>
      </c>
      <c r="J160" s="29">
        <v>0</v>
      </c>
      <c r="K160" s="29">
        <v>0</v>
      </c>
      <c r="L160" s="29">
        <v>0</v>
      </c>
    </row>
    <row r="161" spans="1:12" ht="27" x14ac:dyDescent="0.3">
      <c r="A161" s="36">
        <v>2560</v>
      </c>
      <c r="B161" s="32" t="s">
        <v>10</v>
      </c>
      <c r="C161" s="32">
        <v>6</v>
      </c>
      <c r="D161" s="32">
        <v>0</v>
      </c>
      <c r="E161" s="5" t="s">
        <v>282</v>
      </c>
      <c r="F161" s="29">
        <f>+F163</f>
        <v>331931.19200000004</v>
      </c>
      <c r="G161" s="29">
        <f t="shared" ref="G161:L161" si="9">+G163</f>
        <v>197775.64300000001</v>
      </c>
      <c r="H161" s="29">
        <f t="shared" si="9"/>
        <v>134155.549</v>
      </c>
      <c r="I161" s="29">
        <f t="shared" si="9"/>
        <v>154957.19295199998</v>
      </c>
      <c r="J161" s="29">
        <f t="shared" si="9"/>
        <v>214348.96958730154</v>
      </c>
      <c r="K161" s="29">
        <f t="shared" si="9"/>
        <v>272646.29447619052</v>
      </c>
      <c r="L161" s="29">
        <f t="shared" si="9"/>
        <v>331931.19200000004</v>
      </c>
    </row>
    <row r="162" spans="1:12" s="37" customFormat="1" x14ac:dyDescent="0.3">
      <c r="A162" s="36"/>
      <c r="B162" s="32"/>
      <c r="C162" s="32"/>
      <c r="D162" s="32"/>
      <c r="E162" s="5" t="s">
        <v>156</v>
      </c>
      <c r="F162" s="29"/>
      <c r="G162" s="29"/>
      <c r="H162" s="29"/>
      <c r="I162" s="29"/>
      <c r="J162" s="29"/>
      <c r="K162" s="29"/>
      <c r="L162" s="29"/>
    </row>
    <row r="163" spans="1:12" ht="27" x14ac:dyDescent="0.3">
      <c r="A163" s="36">
        <v>2561</v>
      </c>
      <c r="B163" s="32" t="s">
        <v>10</v>
      </c>
      <c r="C163" s="32">
        <v>6</v>
      </c>
      <c r="D163" s="32">
        <v>1</v>
      </c>
      <c r="E163" s="5" t="s">
        <v>282</v>
      </c>
      <c r="F163" s="29">
        <f>+'4.Gorcarakan ev tntesagitakan'!H394</f>
        <v>331931.19200000004</v>
      </c>
      <c r="G163" s="29">
        <f>+'4.Gorcarakan ev tntesagitakan'!I394</f>
        <v>197775.64300000001</v>
      </c>
      <c r="H163" s="29">
        <f>+'4.Gorcarakan ev tntesagitakan'!J394</f>
        <v>134155.549</v>
      </c>
      <c r="I163" s="29">
        <f>+'4.Gorcarakan ev tntesagitakan'!K394</f>
        <v>154957.19295199998</v>
      </c>
      <c r="J163" s="29">
        <f>+'4.Gorcarakan ev tntesagitakan'!L394</f>
        <v>214348.96958730154</v>
      </c>
      <c r="K163" s="29">
        <f>+'4.Gorcarakan ev tntesagitakan'!M394</f>
        <v>272646.29447619052</v>
      </c>
      <c r="L163" s="29">
        <f>+'4.Gorcarakan ev tntesagitakan'!N394</f>
        <v>331931.19200000004</v>
      </c>
    </row>
    <row r="164" spans="1:12" s="34" customFormat="1" ht="54" x14ac:dyDescent="0.25">
      <c r="A164" s="36">
        <v>2600</v>
      </c>
      <c r="B164" s="32" t="s">
        <v>11</v>
      </c>
      <c r="C164" s="32">
        <v>0</v>
      </c>
      <c r="D164" s="32">
        <v>0</v>
      </c>
      <c r="E164" s="5" t="s">
        <v>283</v>
      </c>
      <c r="F164" s="29">
        <f>+F166+F169+F172+F175+F178+F181</f>
        <v>1261778.0077999989</v>
      </c>
      <c r="G164" s="29">
        <f t="shared" ref="G164:L164" si="10">+G166+G169+G172+G175+G178+G181</f>
        <v>488037.978</v>
      </c>
      <c r="H164" s="29">
        <f t="shared" si="10"/>
        <v>773740.02979999885</v>
      </c>
      <c r="I164" s="29">
        <f t="shared" si="10"/>
        <v>606935.96132769086</v>
      </c>
      <c r="J164" s="29">
        <f t="shared" si="10"/>
        <v>889295.2311823417</v>
      </c>
      <c r="K164" s="29">
        <f t="shared" si="10"/>
        <v>1096914.4824730498</v>
      </c>
      <c r="L164" s="29">
        <f t="shared" si="10"/>
        <v>1261778.0077999989</v>
      </c>
    </row>
    <row r="165" spans="1:12" x14ac:dyDescent="0.3">
      <c r="A165" s="31"/>
      <c r="B165" s="32"/>
      <c r="C165" s="32"/>
      <c r="D165" s="32"/>
      <c r="E165" s="5" t="s">
        <v>154</v>
      </c>
      <c r="F165" s="29"/>
      <c r="G165" s="29"/>
      <c r="H165" s="29"/>
      <c r="I165" s="29"/>
      <c r="J165" s="29"/>
      <c r="K165" s="29"/>
      <c r="L165" s="29"/>
    </row>
    <row r="166" spans="1:12" x14ac:dyDescent="0.3">
      <c r="A166" s="36">
        <v>2610</v>
      </c>
      <c r="B166" s="32" t="s">
        <v>11</v>
      </c>
      <c r="C166" s="32">
        <v>1</v>
      </c>
      <c r="D166" s="32">
        <v>0</v>
      </c>
      <c r="E166" s="5" t="s">
        <v>284</v>
      </c>
      <c r="F166" s="29">
        <f>SUM(F168)</f>
        <v>0</v>
      </c>
      <c r="G166" s="29">
        <f>SUM(G168)</f>
        <v>0</v>
      </c>
      <c r="H166" s="29">
        <f>SUM(H168)</f>
        <v>0</v>
      </c>
      <c r="I166" s="29">
        <v>0</v>
      </c>
      <c r="J166" s="29">
        <v>0</v>
      </c>
      <c r="K166" s="29">
        <v>0</v>
      </c>
      <c r="L166" s="29">
        <v>0</v>
      </c>
    </row>
    <row r="167" spans="1:12" s="37" customFormat="1" x14ac:dyDescent="0.3">
      <c r="A167" s="36"/>
      <c r="B167" s="32"/>
      <c r="C167" s="32"/>
      <c r="D167" s="32"/>
      <c r="E167" s="5" t="s">
        <v>156</v>
      </c>
      <c r="F167" s="29"/>
      <c r="G167" s="29"/>
      <c r="H167" s="29"/>
      <c r="I167" s="29"/>
      <c r="J167" s="29"/>
      <c r="K167" s="29"/>
      <c r="L167" s="29"/>
    </row>
    <row r="168" spans="1:12" x14ac:dyDescent="0.3">
      <c r="A168" s="36">
        <v>2611</v>
      </c>
      <c r="B168" s="32" t="s">
        <v>11</v>
      </c>
      <c r="C168" s="32">
        <v>1</v>
      </c>
      <c r="D168" s="32">
        <v>1</v>
      </c>
      <c r="E168" s="5" t="s">
        <v>285</v>
      </c>
      <c r="F168" s="29">
        <f>SUM(G168:H168)</f>
        <v>0</v>
      </c>
      <c r="G168" s="29"/>
      <c r="H168" s="29"/>
      <c r="I168" s="29">
        <v>0</v>
      </c>
      <c r="J168" s="29">
        <v>0</v>
      </c>
      <c r="K168" s="29">
        <v>0</v>
      </c>
      <c r="L168" s="29">
        <v>0</v>
      </c>
    </row>
    <row r="169" spans="1:12" x14ac:dyDescent="0.3">
      <c r="A169" s="36">
        <v>2620</v>
      </c>
      <c r="B169" s="32" t="s">
        <v>11</v>
      </c>
      <c r="C169" s="32">
        <v>2</v>
      </c>
      <c r="D169" s="32">
        <v>0</v>
      </c>
      <c r="E169" s="5" t="s">
        <v>286</v>
      </c>
      <c r="F169" s="29">
        <f>SUM(F171)</f>
        <v>0</v>
      </c>
      <c r="G169" s="29">
        <f>SUM(G171)</f>
        <v>0</v>
      </c>
      <c r="H169" s="29">
        <f>SUM(H171)</f>
        <v>0</v>
      </c>
      <c r="I169" s="29">
        <v>0</v>
      </c>
      <c r="J169" s="29">
        <v>0</v>
      </c>
      <c r="K169" s="29">
        <v>0</v>
      </c>
      <c r="L169" s="29">
        <v>0</v>
      </c>
    </row>
    <row r="170" spans="1:12" s="37" customFormat="1" x14ac:dyDescent="0.3">
      <c r="A170" s="36"/>
      <c r="B170" s="32"/>
      <c r="C170" s="32"/>
      <c r="D170" s="32"/>
      <c r="E170" s="5" t="s">
        <v>156</v>
      </c>
      <c r="F170" s="29"/>
      <c r="G170" s="29"/>
      <c r="H170" s="29"/>
      <c r="I170" s="29"/>
      <c r="J170" s="29"/>
      <c r="K170" s="29"/>
      <c r="L170" s="29"/>
    </row>
    <row r="171" spans="1:12" x14ac:dyDescent="0.3">
      <c r="A171" s="36">
        <v>2621</v>
      </c>
      <c r="B171" s="32" t="s">
        <v>11</v>
      </c>
      <c r="C171" s="32">
        <v>2</v>
      </c>
      <c r="D171" s="32">
        <v>1</v>
      </c>
      <c r="E171" s="5" t="s">
        <v>286</v>
      </c>
      <c r="F171" s="29">
        <f>SUM(G171:H171)</f>
        <v>0</v>
      </c>
      <c r="G171" s="29"/>
      <c r="H171" s="29"/>
      <c r="I171" s="29">
        <v>0</v>
      </c>
      <c r="J171" s="29">
        <v>0</v>
      </c>
      <c r="K171" s="29">
        <v>0</v>
      </c>
      <c r="L171" s="29">
        <v>0</v>
      </c>
    </row>
    <row r="172" spans="1:12" x14ac:dyDescent="0.3">
      <c r="A172" s="36">
        <v>2630</v>
      </c>
      <c r="B172" s="32" t="s">
        <v>11</v>
      </c>
      <c r="C172" s="32">
        <v>3</v>
      </c>
      <c r="D172" s="32">
        <v>0</v>
      </c>
      <c r="E172" s="5" t="s">
        <v>287</v>
      </c>
      <c r="F172" s="29">
        <f>SUM(F174)</f>
        <v>0</v>
      </c>
      <c r="G172" s="29">
        <f>SUM(G174)</f>
        <v>0</v>
      </c>
      <c r="H172" s="29">
        <f>SUM(H174)</f>
        <v>0</v>
      </c>
      <c r="I172" s="29">
        <v>0</v>
      </c>
      <c r="J172" s="29">
        <v>0</v>
      </c>
      <c r="K172" s="29">
        <v>0</v>
      </c>
      <c r="L172" s="29">
        <v>0</v>
      </c>
    </row>
    <row r="173" spans="1:12" s="37" customFormat="1" x14ac:dyDescent="0.3">
      <c r="A173" s="36"/>
      <c r="B173" s="32"/>
      <c r="C173" s="32"/>
      <c r="D173" s="32"/>
      <c r="E173" s="5" t="s">
        <v>156</v>
      </c>
      <c r="F173" s="29"/>
      <c r="G173" s="29"/>
      <c r="H173" s="29"/>
      <c r="I173" s="29"/>
      <c r="J173" s="29"/>
      <c r="K173" s="29"/>
      <c r="L173" s="29"/>
    </row>
    <row r="174" spans="1:12" x14ac:dyDescent="0.3">
      <c r="A174" s="36">
        <v>2631</v>
      </c>
      <c r="B174" s="32" t="s">
        <v>11</v>
      </c>
      <c r="C174" s="32">
        <v>3</v>
      </c>
      <c r="D174" s="32">
        <v>1</v>
      </c>
      <c r="E174" s="5" t="s">
        <v>288</v>
      </c>
      <c r="F174" s="29">
        <f>SUM(G174:H174)</f>
        <v>0</v>
      </c>
      <c r="G174" s="29"/>
      <c r="H174" s="29"/>
      <c r="I174" s="29">
        <v>0</v>
      </c>
      <c r="J174" s="29">
        <v>0</v>
      </c>
      <c r="K174" s="29">
        <v>0</v>
      </c>
      <c r="L174" s="29">
        <v>0</v>
      </c>
    </row>
    <row r="175" spans="1:12" x14ac:dyDescent="0.3">
      <c r="A175" s="36">
        <v>2640</v>
      </c>
      <c r="B175" s="32" t="s">
        <v>11</v>
      </c>
      <c r="C175" s="32">
        <v>4</v>
      </c>
      <c r="D175" s="32">
        <v>0</v>
      </c>
      <c r="E175" s="5" t="s">
        <v>289</v>
      </c>
      <c r="F175" s="29">
        <f>+F177</f>
        <v>241361.40299999999</v>
      </c>
      <c r="G175" s="29">
        <f t="shared" ref="G175:L175" si="11">+G177</f>
        <v>229361.40299999999</v>
      </c>
      <c r="H175" s="29">
        <f t="shared" si="11"/>
        <v>12000</v>
      </c>
      <c r="I175" s="29">
        <f t="shared" si="11"/>
        <v>86369.394517786597</v>
      </c>
      <c r="J175" s="29">
        <f t="shared" si="11"/>
        <v>164316.12709980231</v>
      </c>
      <c r="K175" s="29">
        <f t="shared" si="11"/>
        <v>201756.26775000032</v>
      </c>
      <c r="L175" s="29">
        <f t="shared" si="11"/>
        <v>241361.40299999999</v>
      </c>
    </row>
    <row r="176" spans="1:12" s="37" customFormat="1" x14ac:dyDescent="0.3">
      <c r="A176" s="36"/>
      <c r="B176" s="32"/>
      <c r="C176" s="32"/>
      <c r="D176" s="32"/>
      <c r="E176" s="5" t="s">
        <v>156</v>
      </c>
      <c r="F176" s="29"/>
      <c r="G176" s="29"/>
      <c r="H176" s="29"/>
      <c r="I176" s="29"/>
      <c r="J176" s="29"/>
      <c r="K176" s="29"/>
      <c r="L176" s="29"/>
    </row>
    <row r="177" spans="1:12" x14ac:dyDescent="0.3">
      <c r="A177" s="36">
        <v>2641</v>
      </c>
      <c r="B177" s="32" t="s">
        <v>11</v>
      </c>
      <c r="C177" s="32">
        <v>4</v>
      </c>
      <c r="D177" s="32">
        <v>1</v>
      </c>
      <c r="E177" s="5" t="s">
        <v>290</v>
      </c>
      <c r="F177" s="29">
        <f>+'4.Gorcarakan ev tntesagitakan'!H429</f>
        <v>241361.40299999999</v>
      </c>
      <c r="G177" s="29">
        <f>+'4.Gorcarakan ev tntesagitakan'!I429</f>
        <v>229361.40299999999</v>
      </c>
      <c r="H177" s="29">
        <f>+'4.Gorcarakan ev tntesagitakan'!J429</f>
        <v>12000</v>
      </c>
      <c r="I177" s="29">
        <f>+'4.Gorcarakan ev tntesagitakan'!K429</f>
        <v>86369.394517786597</v>
      </c>
      <c r="J177" s="29">
        <f>+'4.Gorcarakan ev tntesagitakan'!L429</f>
        <v>164316.12709980231</v>
      </c>
      <c r="K177" s="29">
        <f>+'4.Gorcarakan ev tntesagitakan'!M429</f>
        <v>201756.26775000032</v>
      </c>
      <c r="L177" s="29">
        <f>+'4.Gorcarakan ev tntesagitakan'!N429</f>
        <v>241361.40299999999</v>
      </c>
    </row>
    <row r="178" spans="1:12" ht="40.5" x14ac:dyDescent="0.3">
      <c r="A178" s="36">
        <v>2650</v>
      </c>
      <c r="B178" s="32" t="s">
        <v>11</v>
      </c>
      <c r="C178" s="32">
        <v>5</v>
      </c>
      <c r="D178" s="32">
        <v>0</v>
      </c>
      <c r="E178" s="5" t="s">
        <v>291</v>
      </c>
      <c r="F178" s="29">
        <f>SUM(F180)</f>
        <v>0</v>
      </c>
      <c r="G178" s="29">
        <f>SUM(G180)</f>
        <v>0</v>
      </c>
      <c r="H178" s="29">
        <f>SUM(H180)</f>
        <v>0</v>
      </c>
      <c r="I178" s="29">
        <v>0</v>
      </c>
      <c r="J178" s="29">
        <v>0</v>
      </c>
      <c r="K178" s="29">
        <v>0</v>
      </c>
      <c r="L178" s="29">
        <v>0</v>
      </c>
    </row>
    <row r="179" spans="1:12" s="37" customFormat="1" x14ac:dyDescent="0.3">
      <c r="A179" s="36"/>
      <c r="B179" s="32"/>
      <c r="C179" s="32"/>
      <c r="D179" s="32"/>
      <c r="E179" s="5" t="s">
        <v>156</v>
      </c>
      <c r="F179" s="29"/>
      <c r="G179" s="29"/>
      <c r="H179" s="29"/>
      <c r="I179" s="29"/>
      <c r="J179" s="29"/>
      <c r="K179" s="29"/>
      <c r="L179" s="29"/>
    </row>
    <row r="180" spans="1:12" ht="40.5" x14ac:dyDescent="0.3">
      <c r="A180" s="36">
        <v>2651</v>
      </c>
      <c r="B180" s="32" t="s">
        <v>11</v>
      </c>
      <c r="C180" s="32">
        <v>5</v>
      </c>
      <c r="D180" s="32">
        <v>1</v>
      </c>
      <c r="E180" s="5" t="s">
        <v>291</v>
      </c>
      <c r="F180" s="29">
        <f>SUM(G180:H180)</f>
        <v>0</v>
      </c>
      <c r="G180" s="29"/>
      <c r="H180" s="29"/>
      <c r="I180" s="29">
        <v>0</v>
      </c>
      <c r="J180" s="29">
        <v>0</v>
      </c>
      <c r="K180" s="29">
        <v>0</v>
      </c>
      <c r="L180" s="29">
        <v>0</v>
      </c>
    </row>
    <row r="181" spans="1:12" ht="27" x14ac:dyDescent="0.3">
      <c r="A181" s="36">
        <v>2660</v>
      </c>
      <c r="B181" s="32" t="s">
        <v>11</v>
      </c>
      <c r="C181" s="32">
        <v>6</v>
      </c>
      <c r="D181" s="32">
        <v>0</v>
      </c>
      <c r="E181" s="5" t="s">
        <v>292</v>
      </c>
      <c r="F181" s="29">
        <f>+F183</f>
        <v>1020416.6047999988</v>
      </c>
      <c r="G181" s="29">
        <f t="shared" ref="G181:L181" si="12">+G183</f>
        <v>258676.57499999998</v>
      </c>
      <c r="H181" s="29">
        <f t="shared" si="12"/>
        <v>761740.02979999885</v>
      </c>
      <c r="I181" s="29">
        <f t="shared" si="12"/>
        <v>520566.5668099043</v>
      </c>
      <c r="J181" s="29">
        <f t="shared" si="12"/>
        <v>724979.10408253933</v>
      </c>
      <c r="K181" s="29">
        <f t="shared" si="12"/>
        <v>895158.21472304955</v>
      </c>
      <c r="L181" s="29">
        <f t="shared" si="12"/>
        <v>1020416.6047999988</v>
      </c>
    </row>
    <row r="182" spans="1:12" s="37" customFormat="1" x14ac:dyDescent="0.3">
      <c r="A182" s="36"/>
      <c r="B182" s="32"/>
      <c r="C182" s="32"/>
      <c r="D182" s="32"/>
      <c r="E182" s="5" t="s">
        <v>156</v>
      </c>
      <c r="F182" s="29"/>
      <c r="G182" s="29"/>
      <c r="H182" s="29"/>
      <c r="I182" s="29"/>
      <c r="J182" s="29"/>
      <c r="K182" s="29"/>
      <c r="L182" s="29"/>
    </row>
    <row r="183" spans="1:12" ht="27" x14ac:dyDescent="0.3">
      <c r="A183" s="36">
        <v>2661</v>
      </c>
      <c r="B183" s="32" t="s">
        <v>11</v>
      </c>
      <c r="C183" s="32">
        <v>6</v>
      </c>
      <c r="D183" s="32">
        <v>1</v>
      </c>
      <c r="E183" s="5" t="s">
        <v>292</v>
      </c>
      <c r="F183" s="29">
        <f>+'4.Gorcarakan ev tntesagitakan'!H445</f>
        <v>1020416.6047999988</v>
      </c>
      <c r="G183" s="29">
        <f>+'4.Gorcarakan ev tntesagitakan'!I445</f>
        <v>258676.57499999998</v>
      </c>
      <c r="H183" s="29">
        <f>+'4.Gorcarakan ev tntesagitakan'!J445</f>
        <v>761740.02979999885</v>
      </c>
      <c r="I183" s="29">
        <f>+'4.Gorcarakan ev tntesagitakan'!K445</f>
        <v>520566.5668099043</v>
      </c>
      <c r="J183" s="29">
        <f>+'4.Gorcarakan ev tntesagitakan'!L445</f>
        <v>724979.10408253933</v>
      </c>
      <c r="K183" s="29">
        <f>+'4.Gorcarakan ev tntesagitakan'!M445</f>
        <v>895158.21472304955</v>
      </c>
      <c r="L183" s="29">
        <f>+'4.Gorcarakan ev tntesagitakan'!N445</f>
        <v>1020416.6047999988</v>
      </c>
    </row>
    <row r="184" spans="1:12" s="34" customFormat="1" ht="40.5" x14ac:dyDescent="0.25">
      <c r="A184" s="36">
        <v>2700</v>
      </c>
      <c r="B184" s="32" t="s">
        <v>12</v>
      </c>
      <c r="C184" s="32">
        <v>0</v>
      </c>
      <c r="D184" s="32">
        <v>0</v>
      </c>
      <c r="E184" s="5" t="s">
        <v>293</v>
      </c>
      <c r="F184" s="29">
        <f>SUM(F186,F191,F197,F203,F206,F209)</f>
        <v>0</v>
      </c>
      <c r="G184" s="29">
        <f>SUM(G186,G191,G197,G203,G206,G209)</f>
        <v>0</v>
      </c>
      <c r="H184" s="29">
        <f>SUM(H186,H191,H197,H203,H206,H209)</f>
        <v>0</v>
      </c>
      <c r="I184" s="29">
        <v>0</v>
      </c>
      <c r="J184" s="29">
        <v>0</v>
      </c>
      <c r="K184" s="29">
        <v>0</v>
      </c>
      <c r="L184" s="29">
        <v>0</v>
      </c>
    </row>
    <row r="185" spans="1:12" x14ac:dyDescent="0.3">
      <c r="A185" s="31"/>
      <c r="B185" s="32"/>
      <c r="C185" s="32"/>
      <c r="D185" s="32"/>
      <c r="E185" s="5" t="s">
        <v>154</v>
      </c>
      <c r="F185" s="29"/>
      <c r="G185" s="29"/>
      <c r="H185" s="29"/>
      <c r="I185" s="29"/>
      <c r="J185" s="29"/>
      <c r="K185" s="29"/>
      <c r="L185" s="29"/>
    </row>
    <row r="186" spans="1:12" ht="27" x14ac:dyDescent="0.3">
      <c r="A186" s="36">
        <v>2710</v>
      </c>
      <c r="B186" s="32" t="s">
        <v>12</v>
      </c>
      <c r="C186" s="32">
        <v>1</v>
      </c>
      <c r="D186" s="32">
        <v>0</v>
      </c>
      <c r="E186" s="5" t="s">
        <v>294</v>
      </c>
      <c r="F186" s="29">
        <f>SUM(F188:F190)</f>
        <v>0</v>
      </c>
      <c r="G186" s="29">
        <f>SUM(G188:G190)</f>
        <v>0</v>
      </c>
      <c r="H186" s="29">
        <f>SUM(H188:H190)</f>
        <v>0</v>
      </c>
      <c r="I186" s="29">
        <v>0</v>
      </c>
      <c r="J186" s="29">
        <v>0</v>
      </c>
      <c r="K186" s="29">
        <v>0</v>
      </c>
      <c r="L186" s="29">
        <v>0</v>
      </c>
    </row>
    <row r="187" spans="1:12" s="37" customFormat="1" x14ac:dyDescent="0.3">
      <c r="A187" s="36"/>
      <c r="B187" s="32"/>
      <c r="C187" s="32"/>
      <c r="D187" s="32"/>
      <c r="E187" s="5" t="s">
        <v>156</v>
      </c>
      <c r="F187" s="29"/>
      <c r="G187" s="29"/>
      <c r="H187" s="29"/>
      <c r="I187" s="29"/>
      <c r="J187" s="29"/>
      <c r="K187" s="29"/>
      <c r="L187" s="29"/>
    </row>
    <row r="188" spans="1:12" x14ac:dyDescent="0.3">
      <c r="A188" s="36">
        <v>2711</v>
      </c>
      <c r="B188" s="32" t="s">
        <v>12</v>
      </c>
      <c r="C188" s="32">
        <v>1</v>
      </c>
      <c r="D188" s="32">
        <v>1</v>
      </c>
      <c r="E188" s="5" t="s">
        <v>295</v>
      </c>
      <c r="F188" s="29">
        <f>SUM(G188:H188)</f>
        <v>0</v>
      </c>
      <c r="G188" s="29"/>
      <c r="H188" s="29"/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6">
        <v>2712</v>
      </c>
      <c r="B189" s="32" t="s">
        <v>12</v>
      </c>
      <c r="C189" s="32">
        <v>1</v>
      </c>
      <c r="D189" s="32">
        <v>2</v>
      </c>
      <c r="E189" s="5" t="s">
        <v>296</v>
      </c>
      <c r="F189" s="29">
        <f>SUM(G189:H189)</f>
        <v>0</v>
      </c>
      <c r="G189" s="29"/>
      <c r="H189" s="29"/>
      <c r="I189" s="29">
        <v>0</v>
      </c>
      <c r="J189" s="29">
        <v>0</v>
      </c>
      <c r="K189" s="29">
        <v>0</v>
      </c>
      <c r="L189" s="29">
        <v>0</v>
      </c>
    </row>
    <row r="190" spans="1:12" x14ac:dyDescent="0.3">
      <c r="A190" s="36">
        <v>2713</v>
      </c>
      <c r="B190" s="32" t="s">
        <v>12</v>
      </c>
      <c r="C190" s="32">
        <v>1</v>
      </c>
      <c r="D190" s="32">
        <v>3</v>
      </c>
      <c r="E190" s="5" t="s">
        <v>297</v>
      </c>
      <c r="F190" s="29">
        <f>SUM(G190:H190)</f>
        <v>0</v>
      </c>
      <c r="G190" s="29"/>
      <c r="H190" s="29"/>
      <c r="I190" s="29">
        <v>0</v>
      </c>
      <c r="J190" s="29">
        <v>0</v>
      </c>
      <c r="K190" s="29">
        <v>0</v>
      </c>
      <c r="L190" s="29">
        <v>0</v>
      </c>
    </row>
    <row r="191" spans="1:12" x14ac:dyDescent="0.3">
      <c r="A191" s="36">
        <v>2720</v>
      </c>
      <c r="B191" s="32" t="s">
        <v>12</v>
      </c>
      <c r="C191" s="32">
        <v>2</v>
      </c>
      <c r="D191" s="32">
        <v>0</v>
      </c>
      <c r="E191" s="5" t="s">
        <v>298</v>
      </c>
      <c r="F191" s="29">
        <f>SUM(F193:F196)</f>
        <v>0</v>
      </c>
      <c r="G191" s="29">
        <f>SUM(G193:G196)</f>
        <v>0</v>
      </c>
      <c r="H191" s="29">
        <f>SUM(H193:H196)</f>
        <v>0</v>
      </c>
      <c r="I191" s="29">
        <v>0</v>
      </c>
      <c r="J191" s="29">
        <v>0</v>
      </c>
      <c r="K191" s="29">
        <v>0</v>
      </c>
      <c r="L191" s="29">
        <v>0</v>
      </c>
    </row>
    <row r="192" spans="1:12" s="37" customFormat="1" x14ac:dyDescent="0.3">
      <c r="A192" s="36"/>
      <c r="B192" s="32"/>
      <c r="C192" s="32"/>
      <c r="D192" s="32"/>
      <c r="E192" s="5" t="s">
        <v>156</v>
      </c>
      <c r="F192" s="29"/>
      <c r="G192" s="29"/>
      <c r="H192" s="29"/>
      <c r="I192" s="29"/>
      <c r="J192" s="29"/>
      <c r="K192" s="29"/>
      <c r="L192" s="29"/>
    </row>
    <row r="193" spans="1:12" x14ac:dyDescent="0.3">
      <c r="A193" s="36">
        <v>2721</v>
      </c>
      <c r="B193" s="32" t="s">
        <v>12</v>
      </c>
      <c r="C193" s="32">
        <v>2</v>
      </c>
      <c r="D193" s="32">
        <v>1</v>
      </c>
      <c r="E193" s="5" t="s">
        <v>299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6">
        <v>2722</v>
      </c>
      <c r="B194" s="32" t="s">
        <v>12</v>
      </c>
      <c r="C194" s="32">
        <v>2</v>
      </c>
      <c r="D194" s="32">
        <v>2</v>
      </c>
      <c r="E194" s="5" t="s">
        <v>300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6">
        <v>2723</v>
      </c>
      <c r="B195" s="32" t="s">
        <v>12</v>
      </c>
      <c r="C195" s="32">
        <v>2</v>
      </c>
      <c r="D195" s="32">
        <v>3</v>
      </c>
      <c r="E195" s="5" t="s">
        <v>301</v>
      </c>
      <c r="F195" s="29">
        <f>SUM(G195:H195)</f>
        <v>0</v>
      </c>
      <c r="G195" s="29"/>
      <c r="H195" s="29"/>
      <c r="I195" s="29">
        <v>0</v>
      </c>
      <c r="J195" s="29">
        <v>0</v>
      </c>
      <c r="K195" s="29">
        <v>0</v>
      </c>
      <c r="L195" s="29">
        <v>0</v>
      </c>
    </row>
    <row r="196" spans="1:12" x14ac:dyDescent="0.3">
      <c r="A196" s="36">
        <v>2724</v>
      </c>
      <c r="B196" s="32" t="s">
        <v>12</v>
      </c>
      <c r="C196" s="32">
        <v>2</v>
      </c>
      <c r="D196" s="32">
        <v>4</v>
      </c>
      <c r="E196" s="5" t="s">
        <v>302</v>
      </c>
      <c r="F196" s="29">
        <f>SUM(G196:H196)</f>
        <v>0</v>
      </c>
      <c r="G196" s="29"/>
      <c r="H196" s="29"/>
      <c r="I196" s="29">
        <v>0</v>
      </c>
      <c r="J196" s="29">
        <v>0</v>
      </c>
      <c r="K196" s="29">
        <v>0</v>
      </c>
      <c r="L196" s="29">
        <v>0</v>
      </c>
    </row>
    <row r="197" spans="1:12" x14ac:dyDescent="0.3">
      <c r="A197" s="36">
        <v>2730</v>
      </c>
      <c r="B197" s="32" t="s">
        <v>12</v>
      </c>
      <c r="C197" s="32">
        <v>3</v>
      </c>
      <c r="D197" s="32">
        <v>0</v>
      </c>
      <c r="E197" s="5" t="s">
        <v>303</v>
      </c>
      <c r="F197" s="29">
        <f>SUM(F199:F202)</f>
        <v>0</v>
      </c>
      <c r="G197" s="29">
        <f>SUM(G199:G202)</f>
        <v>0</v>
      </c>
      <c r="H197" s="29">
        <f>SUM(H199:H202)</f>
        <v>0</v>
      </c>
      <c r="I197" s="29">
        <v>0</v>
      </c>
      <c r="J197" s="29">
        <v>0</v>
      </c>
      <c r="K197" s="29">
        <v>0</v>
      </c>
      <c r="L197" s="29">
        <v>0</v>
      </c>
    </row>
    <row r="198" spans="1:12" s="37" customFormat="1" x14ac:dyDescent="0.3">
      <c r="A198" s="36"/>
      <c r="B198" s="32"/>
      <c r="C198" s="32"/>
      <c r="D198" s="32"/>
      <c r="E198" s="5" t="s">
        <v>156</v>
      </c>
      <c r="F198" s="29"/>
      <c r="G198" s="29"/>
      <c r="H198" s="29"/>
      <c r="I198" s="29"/>
      <c r="J198" s="29"/>
      <c r="K198" s="29"/>
      <c r="L198" s="29"/>
    </row>
    <row r="199" spans="1:12" ht="27" x14ac:dyDescent="0.3">
      <c r="A199" s="36">
        <v>2731</v>
      </c>
      <c r="B199" s="32" t="s">
        <v>12</v>
      </c>
      <c r="C199" s="32">
        <v>3</v>
      </c>
      <c r="D199" s="32">
        <v>1</v>
      </c>
      <c r="E199" s="5" t="s">
        <v>304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ht="27" x14ac:dyDescent="0.3">
      <c r="A200" s="36">
        <v>2732</v>
      </c>
      <c r="B200" s="32" t="s">
        <v>12</v>
      </c>
      <c r="C200" s="32">
        <v>3</v>
      </c>
      <c r="D200" s="32">
        <v>2</v>
      </c>
      <c r="E200" s="5" t="s">
        <v>305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ht="27" x14ac:dyDescent="0.3">
      <c r="A201" s="36">
        <v>2733</v>
      </c>
      <c r="B201" s="32" t="s">
        <v>12</v>
      </c>
      <c r="C201" s="32">
        <v>3</v>
      </c>
      <c r="D201" s="32">
        <v>3</v>
      </c>
      <c r="E201" s="5" t="s">
        <v>306</v>
      </c>
      <c r="F201" s="29">
        <f>SUM(G201:H201)</f>
        <v>0</v>
      </c>
      <c r="G201" s="29"/>
      <c r="H201" s="29"/>
      <c r="I201" s="29">
        <v>0</v>
      </c>
      <c r="J201" s="29">
        <v>0</v>
      </c>
      <c r="K201" s="29">
        <v>0</v>
      </c>
      <c r="L201" s="29">
        <v>0</v>
      </c>
    </row>
    <row r="202" spans="1:12" ht="27" x14ac:dyDescent="0.3">
      <c r="A202" s="36">
        <v>2734</v>
      </c>
      <c r="B202" s="32" t="s">
        <v>12</v>
      </c>
      <c r="C202" s="32">
        <v>3</v>
      </c>
      <c r="D202" s="32">
        <v>4</v>
      </c>
      <c r="E202" s="5" t="s">
        <v>307</v>
      </c>
      <c r="F202" s="29">
        <f>SUM(G202:H202)</f>
        <v>0</v>
      </c>
      <c r="G202" s="29"/>
      <c r="H202" s="29"/>
      <c r="I202" s="29">
        <v>0</v>
      </c>
      <c r="J202" s="29">
        <v>0</v>
      </c>
      <c r="K202" s="29">
        <v>0</v>
      </c>
      <c r="L202" s="29">
        <v>0</v>
      </c>
    </row>
    <row r="203" spans="1:12" x14ac:dyDescent="0.3">
      <c r="A203" s="36">
        <v>2740</v>
      </c>
      <c r="B203" s="32" t="s">
        <v>12</v>
      </c>
      <c r="C203" s="32">
        <v>4</v>
      </c>
      <c r="D203" s="32">
        <v>0</v>
      </c>
      <c r="E203" s="5" t="s">
        <v>308</v>
      </c>
      <c r="F203" s="29">
        <f>SUM(F205)</f>
        <v>0</v>
      </c>
      <c r="G203" s="29">
        <f>SUM(G205)</f>
        <v>0</v>
      </c>
      <c r="H203" s="29">
        <f>SUM(H205)</f>
        <v>0</v>
      </c>
      <c r="I203" s="29">
        <v>0</v>
      </c>
      <c r="J203" s="29">
        <v>0</v>
      </c>
      <c r="K203" s="29">
        <v>0</v>
      </c>
      <c r="L203" s="29">
        <v>0</v>
      </c>
    </row>
    <row r="204" spans="1:12" s="37" customFormat="1" x14ac:dyDescent="0.3">
      <c r="A204" s="36"/>
      <c r="B204" s="32"/>
      <c r="C204" s="32"/>
      <c r="D204" s="32"/>
      <c r="E204" s="5" t="s">
        <v>156</v>
      </c>
      <c r="F204" s="29"/>
      <c r="G204" s="29"/>
      <c r="H204" s="29"/>
      <c r="I204" s="29"/>
      <c r="J204" s="29"/>
      <c r="K204" s="29"/>
      <c r="L204" s="29"/>
    </row>
    <row r="205" spans="1:12" x14ac:dyDescent="0.3">
      <c r="A205" s="36">
        <v>2741</v>
      </c>
      <c r="B205" s="32" t="s">
        <v>12</v>
      </c>
      <c r="C205" s="32">
        <v>4</v>
      </c>
      <c r="D205" s="32">
        <v>1</v>
      </c>
      <c r="E205" s="5" t="s">
        <v>308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6">
        <v>2750</v>
      </c>
      <c r="B206" s="32" t="s">
        <v>12</v>
      </c>
      <c r="C206" s="32">
        <v>5</v>
      </c>
      <c r="D206" s="32">
        <v>0</v>
      </c>
      <c r="E206" s="5" t="s">
        <v>309</v>
      </c>
      <c r="F206" s="29">
        <f>SUM(F208)</f>
        <v>0</v>
      </c>
      <c r="G206" s="29">
        <f>SUM(G208)</f>
        <v>0</v>
      </c>
      <c r="H206" s="29">
        <f>SUM(H208)</f>
        <v>0</v>
      </c>
      <c r="I206" s="29">
        <v>0</v>
      </c>
      <c r="J206" s="29">
        <v>0</v>
      </c>
      <c r="K206" s="29">
        <v>0</v>
      </c>
      <c r="L206" s="29">
        <v>0</v>
      </c>
    </row>
    <row r="207" spans="1:12" s="37" customFormat="1" x14ac:dyDescent="0.3">
      <c r="A207" s="36"/>
      <c r="B207" s="32"/>
      <c r="C207" s="32"/>
      <c r="D207" s="32"/>
      <c r="E207" s="5" t="s">
        <v>156</v>
      </c>
      <c r="F207" s="29"/>
      <c r="G207" s="29"/>
      <c r="H207" s="29"/>
      <c r="I207" s="29"/>
      <c r="J207" s="29"/>
      <c r="K207" s="29"/>
      <c r="L207" s="29"/>
    </row>
    <row r="208" spans="1:12" ht="27" x14ac:dyDescent="0.3">
      <c r="A208" s="36">
        <v>2751</v>
      </c>
      <c r="B208" s="32" t="s">
        <v>12</v>
      </c>
      <c r="C208" s="32">
        <v>5</v>
      </c>
      <c r="D208" s="32">
        <v>1</v>
      </c>
      <c r="E208" s="5" t="s">
        <v>309</v>
      </c>
      <c r="F208" s="29">
        <f>SUM(G208:H208)</f>
        <v>0</v>
      </c>
      <c r="G208" s="29"/>
      <c r="H208" s="29"/>
      <c r="I208" s="29">
        <v>0</v>
      </c>
      <c r="J208" s="29">
        <v>0</v>
      </c>
      <c r="K208" s="29">
        <v>0</v>
      </c>
      <c r="L208" s="29">
        <v>0</v>
      </c>
    </row>
    <row r="209" spans="1:12" x14ac:dyDescent="0.3">
      <c r="A209" s="36">
        <v>2760</v>
      </c>
      <c r="B209" s="32" t="s">
        <v>12</v>
      </c>
      <c r="C209" s="32">
        <v>6</v>
      </c>
      <c r="D209" s="32">
        <v>0</v>
      </c>
      <c r="E209" s="5" t="s">
        <v>310</v>
      </c>
      <c r="F209" s="29">
        <f>SUM(F211:F212)</f>
        <v>0</v>
      </c>
      <c r="G209" s="29">
        <f>SUM(G211:G212)</f>
        <v>0</v>
      </c>
      <c r="H209" s="29">
        <f>SUM(H211:H212)</f>
        <v>0</v>
      </c>
      <c r="I209" s="29">
        <v>0</v>
      </c>
      <c r="J209" s="29">
        <v>0</v>
      </c>
      <c r="K209" s="29">
        <v>0</v>
      </c>
      <c r="L209" s="29">
        <v>0</v>
      </c>
    </row>
    <row r="210" spans="1:12" s="37" customFormat="1" x14ac:dyDescent="0.3">
      <c r="A210" s="36"/>
      <c r="B210" s="32"/>
      <c r="C210" s="32"/>
      <c r="D210" s="32"/>
      <c r="E210" s="5" t="s">
        <v>156</v>
      </c>
      <c r="F210" s="29"/>
      <c r="G210" s="29"/>
      <c r="H210" s="29"/>
      <c r="I210" s="29"/>
      <c r="J210" s="29"/>
      <c r="K210" s="29"/>
      <c r="L210" s="29"/>
    </row>
    <row r="211" spans="1:12" ht="27" x14ac:dyDescent="0.3">
      <c r="A211" s="36">
        <v>2761</v>
      </c>
      <c r="B211" s="32" t="s">
        <v>12</v>
      </c>
      <c r="C211" s="32">
        <v>6</v>
      </c>
      <c r="D211" s="32">
        <v>1</v>
      </c>
      <c r="E211" s="5" t="s">
        <v>311</v>
      </c>
      <c r="F211" s="29">
        <f>SUM(G211:H211)</f>
        <v>0</v>
      </c>
      <c r="G211" s="29"/>
      <c r="H211" s="29"/>
      <c r="I211" s="29">
        <v>0</v>
      </c>
      <c r="J211" s="29">
        <v>0</v>
      </c>
      <c r="K211" s="29">
        <v>0</v>
      </c>
      <c r="L211" s="29">
        <v>0</v>
      </c>
    </row>
    <row r="212" spans="1:12" x14ac:dyDescent="0.3">
      <c r="A212" s="36">
        <v>2762</v>
      </c>
      <c r="B212" s="32" t="s">
        <v>12</v>
      </c>
      <c r="C212" s="32">
        <v>6</v>
      </c>
      <c r="D212" s="32">
        <v>2</v>
      </c>
      <c r="E212" s="5" t="s">
        <v>310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s="34" customFormat="1" ht="40.5" x14ac:dyDescent="0.25">
      <c r="A213" s="36">
        <v>2800</v>
      </c>
      <c r="B213" s="32" t="s">
        <v>13</v>
      </c>
      <c r="C213" s="32">
        <v>0</v>
      </c>
      <c r="D213" s="32">
        <v>0</v>
      </c>
      <c r="E213" s="5" t="s">
        <v>312</v>
      </c>
      <c r="F213" s="29">
        <f>+F215+F218+F227+F232+F237+F240</f>
        <v>1773166.1639999992</v>
      </c>
      <c r="G213" s="29">
        <f t="shared" ref="G213:L213" si="13">+G215+G218+G227+G232+G237+G240</f>
        <v>1747166.1639999992</v>
      </c>
      <c r="H213" s="29">
        <f t="shared" si="13"/>
        <v>26000</v>
      </c>
      <c r="I213" s="29">
        <f t="shared" si="13"/>
        <v>416895.95142857119</v>
      </c>
      <c r="J213" s="29">
        <f t="shared" si="13"/>
        <v>831187.83304761816</v>
      </c>
      <c r="K213" s="29">
        <f t="shared" si="13"/>
        <v>1286965.8433968234</v>
      </c>
      <c r="L213" s="29">
        <f t="shared" si="13"/>
        <v>1773166.1639999992</v>
      </c>
    </row>
    <row r="214" spans="1:12" x14ac:dyDescent="0.3">
      <c r="A214" s="31"/>
      <c r="B214" s="32"/>
      <c r="C214" s="32"/>
      <c r="D214" s="32"/>
      <c r="E214" s="5" t="s">
        <v>154</v>
      </c>
      <c r="F214" s="29"/>
      <c r="G214" s="29"/>
      <c r="H214" s="29"/>
      <c r="I214" s="29"/>
      <c r="J214" s="29"/>
      <c r="K214" s="29"/>
      <c r="L214" s="29"/>
    </row>
    <row r="215" spans="1:12" x14ac:dyDescent="0.3">
      <c r="A215" s="36">
        <v>2810</v>
      </c>
      <c r="B215" s="32" t="s">
        <v>13</v>
      </c>
      <c r="C215" s="32">
        <v>1</v>
      </c>
      <c r="D215" s="32">
        <v>0</v>
      </c>
      <c r="E215" s="5" t="s">
        <v>313</v>
      </c>
      <c r="F215" s="29">
        <f>+F217</f>
        <v>775231.12399999902</v>
      </c>
      <c r="G215" s="29">
        <f t="shared" ref="G215:L215" si="14">+G217</f>
        <v>775231.12399999902</v>
      </c>
      <c r="H215" s="29"/>
      <c r="I215" s="29">
        <f t="shared" si="14"/>
        <v>188667.73904761882</v>
      </c>
      <c r="J215" s="29">
        <f t="shared" si="14"/>
        <v>376322.89207936462</v>
      </c>
      <c r="K215" s="29">
        <f t="shared" si="14"/>
        <v>579359.61503174528</v>
      </c>
      <c r="L215" s="29">
        <f t="shared" si="14"/>
        <v>775231.12399999902</v>
      </c>
    </row>
    <row r="216" spans="1:12" s="37" customFormat="1" x14ac:dyDescent="0.3">
      <c r="A216" s="36"/>
      <c r="B216" s="32"/>
      <c r="C216" s="32"/>
      <c r="D216" s="32"/>
      <c r="E216" s="5" t="s">
        <v>156</v>
      </c>
      <c r="F216" s="29"/>
      <c r="G216" s="29"/>
      <c r="H216" s="29"/>
      <c r="I216" s="29"/>
      <c r="J216" s="29"/>
      <c r="K216" s="29"/>
      <c r="L216" s="29"/>
    </row>
    <row r="217" spans="1:12" x14ac:dyDescent="0.3">
      <c r="A217" s="36">
        <v>2811</v>
      </c>
      <c r="B217" s="32" t="s">
        <v>13</v>
      </c>
      <c r="C217" s="32">
        <v>1</v>
      </c>
      <c r="D217" s="32">
        <v>1</v>
      </c>
      <c r="E217" s="5" t="s">
        <v>313</v>
      </c>
      <c r="F217" s="29">
        <f>+'4.Gorcarakan ev tntesagitakan'!H541</f>
        <v>775231.12399999902</v>
      </c>
      <c r="G217" s="29">
        <f>+'4.Gorcarakan ev tntesagitakan'!I541</f>
        <v>775231.12399999902</v>
      </c>
      <c r="H217" s="29"/>
      <c r="I217" s="29">
        <f>+'4.Gorcarakan ev tntesagitakan'!K541</f>
        <v>188667.73904761882</v>
      </c>
      <c r="J217" s="29">
        <f>+'4.Gorcarakan ev tntesagitakan'!L541</f>
        <v>376322.89207936462</v>
      </c>
      <c r="K217" s="29">
        <f>+'4.Gorcarakan ev tntesagitakan'!M541</f>
        <v>579359.61503174528</v>
      </c>
      <c r="L217" s="29">
        <f>+'4.Gorcarakan ev tntesagitakan'!N541</f>
        <v>775231.12399999902</v>
      </c>
    </row>
    <row r="218" spans="1:12" x14ac:dyDescent="0.3">
      <c r="A218" s="36">
        <v>2820</v>
      </c>
      <c r="B218" s="32" t="s">
        <v>13</v>
      </c>
      <c r="C218" s="32">
        <v>2</v>
      </c>
      <c r="D218" s="32">
        <v>0</v>
      </c>
      <c r="E218" s="5" t="s">
        <v>314</v>
      </c>
      <c r="F218" s="29">
        <f>+'4.Gorcarakan ev tntesagitakan'!H552</f>
        <v>935733.8</v>
      </c>
      <c r="G218" s="29">
        <f>+'4.Gorcarakan ev tntesagitakan'!I552</f>
        <v>909733.8</v>
      </c>
      <c r="H218" s="29">
        <f>+'4.Gorcarakan ev tntesagitakan'!J552</f>
        <v>26000</v>
      </c>
      <c r="I218" s="29">
        <f>+'4.Gorcarakan ev tntesagitakan'!K552</f>
        <v>211217.15333333335</v>
      </c>
      <c r="J218" s="29">
        <f>+'4.Gorcarakan ev tntesagitakan'!L552</f>
        <v>422797.23255555501</v>
      </c>
      <c r="K218" s="29">
        <f>+'4.Gorcarakan ev tntesagitakan'!M552</f>
        <v>655378.67138095107</v>
      </c>
      <c r="L218" s="29">
        <f>+'4.Gorcarakan ev tntesagitakan'!N552</f>
        <v>935733.8</v>
      </c>
    </row>
    <row r="219" spans="1:12" s="37" customFormat="1" x14ac:dyDescent="0.3">
      <c r="A219" s="36"/>
      <c r="B219" s="32"/>
      <c r="C219" s="32"/>
      <c r="D219" s="32"/>
      <c r="E219" s="5" t="s">
        <v>156</v>
      </c>
      <c r="F219" s="29"/>
      <c r="G219" s="29"/>
      <c r="H219" s="29"/>
      <c r="I219" s="29"/>
      <c r="J219" s="29"/>
      <c r="K219" s="29"/>
      <c r="L219" s="29"/>
    </row>
    <row r="220" spans="1:12" x14ac:dyDescent="0.3">
      <c r="A220" s="36">
        <v>2821</v>
      </c>
      <c r="B220" s="32" t="s">
        <v>13</v>
      </c>
      <c r="C220" s="32">
        <v>2</v>
      </c>
      <c r="D220" s="32">
        <v>1</v>
      </c>
      <c r="E220" s="5" t="s">
        <v>315</v>
      </c>
      <c r="F220" s="29">
        <f>+'4.Gorcarakan ev tntesagitakan'!H554</f>
        <v>69280.100000000006</v>
      </c>
      <c r="G220" s="29">
        <f>+'4.Gorcarakan ev tntesagitakan'!I554</f>
        <v>69280.100000000006</v>
      </c>
      <c r="H220" s="29"/>
      <c r="I220" s="29">
        <f>+'4.Gorcarakan ev tntesagitakan'!K554</f>
        <v>15384.885714285712</v>
      </c>
      <c r="J220" s="29">
        <f>+'4.Gorcarakan ev tntesagitakan'!L554</f>
        <v>30944.751190476192</v>
      </c>
      <c r="K220" s="29">
        <f>+'4.Gorcarakan ev tntesagitakan'!M554</f>
        <v>47780.015476190478</v>
      </c>
      <c r="L220" s="29">
        <f>+'4.Gorcarakan ev tntesagitakan'!N554</f>
        <v>69280.100000000006</v>
      </c>
    </row>
    <row r="221" spans="1:12" x14ac:dyDescent="0.3">
      <c r="A221" s="36">
        <v>2822</v>
      </c>
      <c r="B221" s="32" t="s">
        <v>13</v>
      </c>
      <c r="C221" s="32">
        <v>2</v>
      </c>
      <c r="D221" s="32">
        <v>2</v>
      </c>
      <c r="E221" s="5" t="s">
        <v>316</v>
      </c>
      <c r="F221" s="29">
        <f>+'4.Gorcarakan ev tntesagitakan'!H560</f>
        <v>107540.1</v>
      </c>
      <c r="G221" s="29">
        <f>+'4.Gorcarakan ev tntesagitakan'!I560</f>
        <v>104040.1</v>
      </c>
      <c r="H221" s="29"/>
      <c r="I221" s="29">
        <f>+'4.Gorcarakan ev tntesagitakan'!K560</f>
        <v>24830.138095238093</v>
      </c>
      <c r="J221" s="29">
        <f>+'4.Gorcarakan ev tntesagitakan'!L560</f>
        <v>49558.763492063488</v>
      </c>
      <c r="K221" s="29">
        <f>+'4.Gorcarakan ev tntesagitakan'!M560</f>
        <v>79814.325396825399</v>
      </c>
      <c r="L221" s="29">
        <f>+'4.Gorcarakan ev tntesagitakan'!N560</f>
        <v>107540.1</v>
      </c>
    </row>
    <row r="222" spans="1:12" x14ac:dyDescent="0.3">
      <c r="A222" s="36">
        <v>2823</v>
      </c>
      <c r="B222" s="32" t="s">
        <v>13</v>
      </c>
      <c r="C222" s="32">
        <v>2</v>
      </c>
      <c r="D222" s="32">
        <v>3</v>
      </c>
      <c r="E222" s="5" t="s">
        <v>317</v>
      </c>
      <c r="F222" s="29">
        <f>+'4.Gorcarakan ev tntesagitakan'!H566</f>
        <v>730413.6</v>
      </c>
      <c r="G222" s="29">
        <f>+'4.Gorcarakan ev tntesagitakan'!I566</f>
        <v>730413.6</v>
      </c>
      <c r="H222" s="29"/>
      <c r="I222" s="29">
        <f>+'4.Gorcarakan ev tntesagitakan'!K566</f>
        <v>164216.41523809524</v>
      </c>
      <c r="J222" s="29">
        <f>+'4.Gorcarakan ev tntesagitakan'!L566</f>
        <v>328609.19406349154</v>
      </c>
      <c r="K222" s="29">
        <f>+'4.Gorcarakan ev tntesagitakan'!M566</f>
        <v>506476.79082539561</v>
      </c>
      <c r="L222" s="29">
        <f>+'4.Gorcarakan ev tntesagitakan'!N566</f>
        <v>730413.6</v>
      </c>
    </row>
    <row r="223" spans="1:12" x14ac:dyDescent="0.3">
      <c r="A223" s="36">
        <v>2824</v>
      </c>
      <c r="B223" s="32" t="s">
        <v>13</v>
      </c>
      <c r="C223" s="32">
        <v>2</v>
      </c>
      <c r="D223" s="32">
        <v>4</v>
      </c>
      <c r="E223" s="5" t="s">
        <v>318</v>
      </c>
      <c r="F223" s="29">
        <f>SUM(G223:H223)</f>
        <v>0</v>
      </c>
      <c r="G223" s="29"/>
      <c r="H223" s="29"/>
      <c r="I223" s="29">
        <v>0</v>
      </c>
      <c r="J223" s="29">
        <v>0</v>
      </c>
      <c r="K223" s="29">
        <v>0</v>
      </c>
      <c r="L223" s="29">
        <v>0</v>
      </c>
    </row>
    <row r="224" spans="1:12" x14ac:dyDescent="0.3">
      <c r="A224" s="36">
        <v>2825</v>
      </c>
      <c r="B224" s="32" t="s">
        <v>13</v>
      </c>
      <c r="C224" s="32">
        <v>2</v>
      </c>
      <c r="D224" s="32">
        <v>5</v>
      </c>
      <c r="E224" s="5" t="s">
        <v>319</v>
      </c>
      <c r="F224" s="29">
        <f>SUM(G224:H224)</f>
        <v>0</v>
      </c>
      <c r="G224" s="29"/>
      <c r="H224" s="29"/>
      <c r="I224" s="29">
        <v>0</v>
      </c>
      <c r="J224" s="29">
        <v>0</v>
      </c>
      <c r="K224" s="29">
        <v>0</v>
      </c>
      <c r="L224" s="29">
        <v>0</v>
      </c>
    </row>
    <row r="225" spans="1:12" x14ac:dyDescent="0.3">
      <c r="A225" s="36">
        <v>2826</v>
      </c>
      <c r="B225" s="32" t="s">
        <v>13</v>
      </c>
      <c r="C225" s="32">
        <v>2</v>
      </c>
      <c r="D225" s="32">
        <v>6</v>
      </c>
      <c r="E225" s="5" t="s">
        <v>320</v>
      </c>
      <c r="F225" s="29">
        <f>SUM(G225:H225)</f>
        <v>0</v>
      </c>
      <c r="G225" s="29"/>
      <c r="H225" s="29"/>
      <c r="I225" s="29">
        <v>0</v>
      </c>
      <c r="J225" s="29">
        <v>0</v>
      </c>
      <c r="K225" s="29">
        <v>0</v>
      </c>
      <c r="L225" s="29">
        <v>0</v>
      </c>
    </row>
    <row r="226" spans="1:12" ht="27" x14ac:dyDescent="0.3">
      <c r="A226" s="36">
        <v>2827</v>
      </c>
      <c r="B226" s="32" t="s">
        <v>13</v>
      </c>
      <c r="C226" s="32">
        <v>2</v>
      </c>
      <c r="D226" s="32">
        <v>7</v>
      </c>
      <c r="E226" s="5" t="s">
        <v>321</v>
      </c>
      <c r="F226" s="29">
        <f>+'4.Gorcarakan ev tntesagitakan'!H585</f>
        <v>28500</v>
      </c>
      <c r="G226" s="29">
        <f>+'4.Gorcarakan ev tntesagitakan'!I585</f>
        <v>6000</v>
      </c>
      <c r="H226" s="29">
        <f>+'4.Gorcarakan ev tntesagitakan'!J585</f>
        <v>22500</v>
      </c>
      <c r="I226" s="29">
        <f>+'4.Gorcarakan ev tntesagitakan'!K585</f>
        <v>6785.7142857142871</v>
      </c>
      <c r="J226" s="29">
        <f>+'4.Gorcarakan ev tntesagitakan'!L585</f>
        <v>13684.523809523811</v>
      </c>
      <c r="K226" s="29">
        <f>+'4.Gorcarakan ev tntesagitakan'!M585</f>
        <v>21307.539682539686</v>
      </c>
      <c r="L226" s="29">
        <f>+'4.Gorcarakan ev tntesagitakan'!N585</f>
        <v>28500</v>
      </c>
    </row>
    <row r="227" spans="1:12" ht="40.5" x14ac:dyDescent="0.3">
      <c r="A227" s="36">
        <v>2830</v>
      </c>
      <c r="B227" s="32" t="s">
        <v>13</v>
      </c>
      <c r="C227" s="32">
        <v>3</v>
      </c>
      <c r="D227" s="32">
        <v>0</v>
      </c>
      <c r="E227" s="5" t="s">
        <v>322</v>
      </c>
      <c r="F227" s="29">
        <f>SUM(F229:F231)</f>
        <v>0</v>
      </c>
      <c r="G227" s="29">
        <f>SUM(G229:G231)</f>
        <v>0</v>
      </c>
      <c r="H227" s="29">
        <f>SUM(H229:H231)</f>
        <v>0</v>
      </c>
      <c r="I227" s="29">
        <v>0</v>
      </c>
      <c r="J227" s="29">
        <v>0</v>
      </c>
      <c r="K227" s="29">
        <v>0</v>
      </c>
      <c r="L227" s="29">
        <v>0</v>
      </c>
    </row>
    <row r="228" spans="1:12" s="37" customFormat="1" x14ac:dyDescent="0.3">
      <c r="A228" s="36"/>
      <c r="B228" s="32"/>
      <c r="C228" s="32"/>
      <c r="D228" s="32"/>
      <c r="E228" s="5" t="s">
        <v>156</v>
      </c>
      <c r="F228" s="29"/>
      <c r="G228" s="29"/>
      <c r="H228" s="29"/>
      <c r="I228" s="29"/>
      <c r="J228" s="29"/>
      <c r="K228" s="29"/>
      <c r="L228" s="29"/>
    </row>
    <row r="229" spans="1:12" x14ac:dyDescent="0.3">
      <c r="A229" s="36">
        <v>2831</v>
      </c>
      <c r="B229" s="32" t="s">
        <v>13</v>
      </c>
      <c r="C229" s="32">
        <v>3</v>
      </c>
      <c r="D229" s="32">
        <v>1</v>
      </c>
      <c r="E229" s="5" t="s">
        <v>323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x14ac:dyDescent="0.3">
      <c r="A230" s="36">
        <v>2832</v>
      </c>
      <c r="B230" s="32" t="s">
        <v>13</v>
      </c>
      <c r="C230" s="32">
        <v>3</v>
      </c>
      <c r="D230" s="32">
        <v>2</v>
      </c>
      <c r="E230" s="5" t="s">
        <v>324</v>
      </c>
      <c r="F230" s="29">
        <f>SUM(G230:H230)</f>
        <v>0</v>
      </c>
      <c r="G230" s="29"/>
      <c r="H230" s="29"/>
      <c r="I230" s="29">
        <v>0</v>
      </c>
      <c r="J230" s="29">
        <v>0</v>
      </c>
      <c r="K230" s="29">
        <v>0</v>
      </c>
      <c r="L230" s="29">
        <v>0</v>
      </c>
    </row>
    <row r="231" spans="1:12" x14ac:dyDescent="0.3">
      <c r="A231" s="36">
        <v>2833</v>
      </c>
      <c r="B231" s="32" t="s">
        <v>13</v>
      </c>
      <c r="C231" s="32">
        <v>3</v>
      </c>
      <c r="D231" s="32">
        <v>3</v>
      </c>
      <c r="E231" s="5" t="s">
        <v>325</v>
      </c>
      <c r="F231" s="29">
        <f>SUM(G231:H231)</f>
        <v>0</v>
      </c>
      <c r="G231" s="29"/>
      <c r="H231" s="29"/>
      <c r="I231" s="29">
        <v>0</v>
      </c>
      <c r="J231" s="29">
        <v>0</v>
      </c>
      <c r="K231" s="29">
        <v>0</v>
      </c>
      <c r="L231" s="29">
        <v>0</v>
      </c>
    </row>
    <row r="232" spans="1:12" x14ac:dyDescent="0.3">
      <c r="A232" s="36">
        <v>2840</v>
      </c>
      <c r="B232" s="32" t="s">
        <v>13</v>
      </c>
      <c r="C232" s="32">
        <v>4</v>
      </c>
      <c r="D232" s="32">
        <v>0</v>
      </c>
      <c r="E232" s="5" t="s">
        <v>326</v>
      </c>
      <c r="F232" s="29">
        <f>+'4.Gorcarakan ev tntesagitakan'!H607</f>
        <v>25000</v>
      </c>
      <c r="G232" s="29">
        <f>+'4.Gorcarakan ev tntesagitakan'!I607</f>
        <v>25000</v>
      </c>
      <c r="H232" s="29">
        <f>+'4.Gorcarakan ev tntesagitakan'!J607</f>
        <v>0</v>
      </c>
      <c r="I232" s="29">
        <f>+'4.Gorcarakan ev tntesagitakan'!K607</f>
        <v>5952.3809523809523</v>
      </c>
      <c r="J232" s="29">
        <f>+'4.Gorcarakan ev tntesagitakan'!L607</f>
        <v>12003.968253968254</v>
      </c>
      <c r="K232" s="29">
        <f>+'4.Gorcarakan ev tntesagitakan'!M607</f>
        <v>22420.634920634919</v>
      </c>
      <c r="L232" s="29">
        <f>+'4.Gorcarakan ev tntesagitakan'!N607</f>
        <v>25000</v>
      </c>
    </row>
    <row r="233" spans="1:12" s="37" customFormat="1" x14ac:dyDescent="0.3">
      <c r="A233" s="36"/>
      <c r="B233" s="32"/>
      <c r="C233" s="32"/>
      <c r="D233" s="32"/>
      <c r="E233" s="5" t="s">
        <v>156</v>
      </c>
      <c r="F233" s="29"/>
      <c r="G233" s="29"/>
      <c r="H233" s="29"/>
      <c r="I233" s="29"/>
      <c r="J233" s="29"/>
      <c r="K233" s="29"/>
      <c r="L233" s="29"/>
    </row>
    <row r="234" spans="1:12" x14ac:dyDescent="0.3">
      <c r="A234" s="36">
        <v>2841</v>
      </c>
      <c r="B234" s="32" t="s">
        <v>13</v>
      </c>
      <c r="C234" s="32">
        <v>4</v>
      </c>
      <c r="D234" s="32">
        <v>1</v>
      </c>
      <c r="E234" s="5" t="s">
        <v>327</v>
      </c>
      <c r="F234" s="29">
        <f>+'4.Gorcarakan ev tntesagitakan'!H608</f>
        <v>10000</v>
      </c>
      <c r="G234" s="29">
        <f>+'4.Gorcarakan ev tntesagitakan'!I608</f>
        <v>10000</v>
      </c>
      <c r="H234" s="29">
        <f>+'4.Gorcarakan ev tntesagitakan'!J608</f>
        <v>0</v>
      </c>
      <c r="I234" s="29">
        <f>+'4.Gorcarakan ev tntesagitakan'!K608</f>
        <v>2380.9523809523812</v>
      </c>
      <c r="J234" s="29">
        <f>+'4.Gorcarakan ev tntesagitakan'!L608</f>
        <v>4801.5873015873021</v>
      </c>
      <c r="K234" s="29">
        <f>+'4.Gorcarakan ev tntesagitakan'!M608</f>
        <v>7420.6349206349205</v>
      </c>
      <c r="L234" s="29">
        <f>+'4.Gorcarakan ev tntesagitakan'!N608</f>
        <v>10000</v>
      </c>
    </row>
    <row r="235" spans="1:12" ht="27" x14ac:dyDescent="0.3">
      <c r="A235" s="36">
        <v>2842</v>
      </c>
      <c r="B235" s="32" t="s">
        <v>13</v>
      </c>
      <c r="C235" s="32">
        <v>4</v>
      </c>
      <c r="D235" s="32">
        <v>2</v>
      </c>
      <c r="E235" s="5" t="s">
        <v>328</v>
      </c>
      <c r="F235" s="29">
        <f>+'4.Gorcarakan ev tntesagitakan'!H612</f>
        <v>15000</v>
      </c>
      <c r="G235" s="29">
        <f>+'4.Gorcarakan ev tntesagitakan'!I612</f>
        <v>15000</v>
      </c>
      <c r="H235" s="29">
        <f>+'4.Gorcarakan ev tntesagitakan'!J612</f>
        <v>0</v>
      </c>
      <c r="I235" s="29">
        <f>+'4.Gorcarakan ev tntesagitakan'!K612</f>
        <v>3571.4285714285716</v>
      </c>
      <c r="J235" s="29">
        <f>+'4.Gorcarakan ev tntesagitakan'!L612</f>
        <v>7202.3809523809523</v>
      </c>
      <c r="K235" s="29">
        <f>+'4.Gorcarakan ev tntesagitakan'!M612</f>
        <v>15000</v>
      </c>
      <c r="L235" s="29">
        <f>+'4.Gorcarakan ev tntesagitakan'!N612</f>
        <v>15000</v>
      </c>
    </row>
    <row r="236" spans="1:12" x14ac:dyDescent="0.3">
      <c r="A236" s="36">
        <v>2843</v>
      </c>
      <c r="B236" s="32" t="s">
        <v>13</v>
      </c>
      <c r="C236" s="32">
        <v>4</v>
      </c>
      <c r="D236" s="32">
        <v>3</v>
      </c>
      <c r="E236" s="5" t="s">
        <v>326</v>
      </c>
      <c r="F236" s="29">
        <f>SUM(G236:H236)</f>
        <v>0</v>
      </c>
      <c r="G236" s="29"/>
      <c r="H236" s="29"/>
      <c r="I236" s="29">
        <v>0</v>
      </c>
      <c r="J236" s="29">
        <v>0</v>
      </c>
      <c r="K236" s="29">
        <v>0</v>
      </c>
      <c r="L236" s="29">
        <v>0</v>
      </c>
    </row>
    <row r="237" spans="1:12" ht="27" x14ac:dyDescent="0.3">
      <c r="A237" s="36">
        <v>2850</v>
      </c>
      <c r="B237" s="32" t="s">
        <v>13</v>
      </c>
      <c r="C237" s="32">
        <v>5</v>
      </c>
      <c r="D237" s="32">
        <v>0</v>
      </c>
      <c r="E237" s="6" t="s">
        <v>329</v>
      </c>
      <c r="F237" s="29">
        <f>SUM(F239)</f>
        <v>0</v>
      </c>
      <c r="G237" s="29">
        <f>SUM(G239)</f>
        <v>0</v>
      </c>
      <c r="H237" s="29">
        <f>SUM(H239)</f>
        <v>0</v>
      </c>
      <c r="I237" s="29">
        <v>0</v>
      </c>
      <c r="J237" s="29">
        <v>0</v>
      </c>
      <c r="K237" s="29">
        <v>0</v>
      </c>
      <c r="L237" s="29">
        <v>0</v>
      </c>
    </row>
    <row r="238" spans="1:12" s="37" customFormat="1" x14ac:dyDescent="0.3">
      <c r="A238" s="36"/>
      <c r="B238" s="32"/>
      <c r="C238" s="32"/>
      <c r="D238" s="32"/>
      <c r="E238" s="5" t="s">
        <v>156</v>
      </c>
      <c r="F238" s="29"/>
      <c r="G238" s="29"/>
      <c r="H238" s="29"/>
      <c r="I238" s="29"/>
      <c r="J238" s="29"/>
      <c r="K238" s="29"/>
      <c r="L238" s="29"/>
    </row>
    <row r="239" spans="1:12" ht="27" x14ac:dyDescent="0.3">
      <c r="A239" s="36">
        <v>2851</v>
      </c>
      <c r="B239" s="32" t="s">
        <v>13</v>
      </c>
      <c r="C239" s="32">
        <v>5</v>
      </c>
      <c r="D239" s="32">
        <v>1</v>
      </c>
      <c r="E239" s="6" t="s">
        <v>329</v>
      </c>
      <c r="F239" s="29">
        <f>SUM(G239:H239)</f>
        <v>0</v>
      </c>
      <c r="G239" s="29"/>
      <c r="H239" s="29"/>
      <c r="I239" s="29">
        <v>0</v>
      </c>
      <c r="J239" s="29">
        <v>0</v>
      </c>
      <c r="K239" s="29">
        <v>0</v>
      </c>
      <c r="L239" s="29">
        <v>0</v>
      </c>
    </row>
    <row r="240" spans="1:12" ht="27" x14ac:dyDescent="0.3">
      <c r="A240" s="36">
        <v>2860</v>
      </c>
      <c r="B240" s="32" t="s">
        <v>13</v>
      </c>
      <c r="C240" s="32">
        <v>6</v>
      </c>
      <c r="D240" s="32">
        <v>0</v>
      </c>
      <c r="E240" s="6" t="s">
        <v>330</v>
      </c>
      <c r="F240" s="29">
        <f>+F242</f>
        <v>37201.24</v>
      </c>
      <c r="G240" s="29">
        <f t="shared" ref="G240:L240" si="15">+G242</f>
        <v>37201.24</v>
      </c>
      <c r="H240" s="29">
        <f t="shared" si="15"/>
        <v>0</v>
      </c>
      <c r="I240" s="29">
        <f t="shared" si="15"/>
        <v>11058.678095238096</v>
      </c>
      <c r="J240" s="29">
        <f t="shared" si="15"/>
        <v>20063.740158730157</v>
      </c>
      <c r="K240" s="29">
        <f t="shared" si="15"/>
        <v>29806.922063492064</v>
      </c>
      <c r="L240" s="29">
        <f t="shared" si="15"/>
        <v>37201.24</v>
      </c>
    </row>
    <row r="241" spans="1:12" s="37" customFormat="1" x14ac:dyDescent="0.3">
      <c r="A241" s="36"/>
      <c r="B241" s="32"/>
      <c r="C241" s="32"/>
      <c r="D241" s="32"/>
      <c r="E241" s="5" t="s">
        <v>156</v>
      </c>
      <c r="F241" s="29"/>
      <c r="G241" s="29"/>
      <c r="H241" s="29"/>
      <c r="I241" s="29"/>
      <c r="J241" s="29"/>
      <c r="K241" s="29"/>
      <c r="L241" s="29"/>
    </row>
    <row r="242" spans="1:12" ht="27" x14ac:dyDescent="0.3">
      <c r="A242" s="36">
        <v>2861</v>
      </c>
      <c r="B242" s="32" t="s">
        <v>13</v>
      </c>
      <c r="C242" s="32">
        <v>6</v>
      </c>
      <c r="D242" s="32">
        <v>1</v>
      </c>
      <c r="E242" s="6" t="s">
        <v>330</v>
      </c>
      <c r="F242" s="29">
        <f>+'4.Gorcarakan ev tntesagitakan'!H628</f>
        <v>37201.24</v>
      </c>
      <c r="G242" s="29">
        <f>+'4.Gorcarakan ev tntesagitakan'!I628</f>
        <v>37201.24</v>
      </c>
      <c r="H242" s="29"/>
      <c r="I242" s="29">
        <f>+'4.Gorcarakan ev tntesagitakan'!K628</f>
        <v>11058.678095238096</v>
      </c>
      <c r="J242" s="29">
        <f>+'4.Gorcarakan ev tntesagitakan'!L628</f>
        <v>20063.740158730157</v>
      </c>
      <c r="K242" s="29">
        <f>+'4.Gorcarakan ev tntesagitakan'!M628</f>
        <v>29806.922063492064</v>
      </c>
      <c r="L242" s="29">
        <f>+'4.Gorcarakan ev tntesagitakan'!N628</f>
        <v>37201.24</v>
      </c>
    </row>
    <row r="243" spans="1:12" s="34" customFormat="1" ht="40.5" x14ac:dyDescent="0.25">
      <c r="A243" s="36">
        <v>2900</v>
      </c>
      <c r="B243" s="32" t="s">
        <v>14</v>
      </c>
      <c r="C243" s="32">
        <v>0</v>
      </c>
      <c r="D243" s="32">
        <v>0</v>
      </c>
      <c r="E243" s="5" t="s">
        <v>331</v>
      </c>
      <c r="F243" s="29">
        <f>+F245+F249+F253+F257+F261+F265+F268+F271</f>
        <v>1072604.7549999999</v>
      </c>
      <c r="G243" s="29">
        <f t="shared" ref="G243:L243" si="16">+G245+G249+G253+G257+G261+G265+G268+G271</f>
        <v>1062604.7549999999</v>
      </c>
      <c r="H243" s="29">
        <f t="shared" si="16"/>
        <v>10000</v>
      </c>
      <c r="I243" s="29">
        <f t="shared" si="16"/>
        <v>248925.04642857096</v>
      </c>
      <c r="J243" s="29">
        <f t="shared" si="16"/>
        <v>504338.36529761826</v>
      </c>
      <c r="K243" s="29">
        <f t="shared" si="16"/>
        <v>793386.02890873014</v>
      </c>
      <c r="L243" s="29">
        <f t="shared" si="16"/>
        <v>1072604.7549999999</v>
      </c>
    </row>
    <row r="244" spans="1:12" x14ac:dyDescent="0.3">
      <c r="A244" s="31"/>
      <c r="B244" s="32"/>
      <c r="C244" s="32"/>
      <c r="D244" s="32"/>
      <c r="E244" s="5" t="s">
        <v>154</v>
      </c>
      <c r="F244" s="29"/>
      <c r="G244" s="29"/>
      <c r="H244" s="29"/>
      <c r="I244" s="29">
        <v>0</v>
      </c>
      <c r="J244" s="29">
        <v>0</v>
      </c>
      <c r="K244" s="29">
        <v>0</v>
      </c>
      <c r="L244" s="29">
        <v>0</v>
      </c>
    </row>
    <row r="245" spans="1:12" ht="27" x14ac:dyDescent="0.3">
      <c r="A245" s="36">
        <v>2910</v>
      </c>
      <c r="B245" s="32" t="s">
        <v>14</v>
      </c>
      <c r="C245" s="32">
        <v>1</v>
      </c>
      <c r="D245" s="32">
        <v>0</v>
      </c>
      <c r="E245" s="5" t="s">
        <v>332</v>
      </c>
      <c r="F245" s="29">
        <f>+F247</f>
        <v>914582</v>
      </c>
      <c r="G245" s="29">
        <f t="shared" ref="G245:L245" si="17">+G247</f>
        <v>914582</v>
      </c>
      <c r="H245" s="29">
        <f t="shared" si="17"/>
        <v>0</v>
      </c>
      <c r="I245" s="29">
        <f t="shared" si="17"/>
        <v>217757.61904761902</v>
      </c>
      <c r="J245" s="29">
        <f t="shared" si="17"/>
        <v>439144.53174603172</v>
      </c>
      <c r="K245" s="29">
        <f t="shared" si="17"/>
        <v>678677.91269841266</v>
      </c>
      <c r="L245" s="29">
        <f t="shared" si="17"/>
        <v>914582</v>
      </c>
    </row>
    <row r="246" spans="1:12" s="37" customFormat="1" x14ac:dyDescent="0.3">
      <c r="A246" s="36"/>
      <c r="B246" s="32"/>
      <c r="C246" s="32"/>
      <c r="D246" s="32"/>
      <c r="E246" s="5" t="s">
        <v>156</v>
      </c>
      <c r="F246" s="29"/>
      <c r="G246" s="29"/>
      <c r="H246" s="29"/>
      <c r="I246" s="29"/>
      <c r="J246" s="29"/>
      <c r="K246" s="29"/>
      <c r="L246" s="29"/>
    </row>
    <row r="247" spans="1:12" x14ac:dyDescent="0.3">
      <c r="A247" s="36">
        <v>2911</v>
      </c>
      <c r="B247" s="32" t="s">
        <v>14</v>
      </c>
      <c r="C247" s="32">
        <v>1</v>
      </c>
      <c r="D247" s="32">
        <v>1</v>
      </c>
      <c r="E247" s="5" t="s">
        <v>333</v>
      </c>
      <c r="F247" s="29">
        <f>+'4.Gorcarakan ev tntesagitakan'!H639</f>
        <v>914582</v>
      </c>
      <c r="G247" s="29">
        <f>+'4.Gorcarakan ev tntesagitakan'!I639</f>
        <v>914582</v>
      </c>
      <c r="H247" s="29">
        <f>+'4.Gorcarakan ev tntesagitakan'!J639</f>
        <v>0</v>
      </c>
      <c r="I247" s="29">
        <f>+'4.Gorcarakan ev tntesagitakan'!K639</f>
        <v>217757.61904761902</v>
      </c>
      <c r="J247" s="29">
        <f>+'4.Gorcarakan ev tntesagitakan'!L639</f>
        <v>439144.53174603172</v>
      </c>
      <c r="K247" s="29">
        <f>+'4.Gorcarakan ev tntesagitakan'!M639</f>
        <v>678677.91269841266</v>
      </c>
      <c r="L247" s="29">
        <f>+'4.Gorcarakan ev tntesagitakan'!N639</f>
        <v>914582</v>
      </c>
    </row>
    <row r="248" spans="1:12" x14ac:dyDescent="0.3">
      <c r="A248" s="36">
        <v>2912</v>
      </c>
      <c r="B248" s="32" t="s">
        <v>14</v>
      </c>
      <c r="C248" s="32">
        <v>1</v>
      </c>
      <c r="D248" s="32">
        <v>2</v>
      </c>
      <c r="E248" s="5" t="s">
        <v>334</v>
      </c>
      <c r="F248" s="29">
        <f>SUM(G248:H248)</f>
        <v>0</v>
      </c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x14ac:dyDescent="0.3">
      <c r="A249" s="36">
        <v>2920</v>
      </c>
      <c r="B249" s="32" t="s">
        <v>14</v>
      </c>
      <c r="C249" s="32">
        <v>2</v>
      </c>
      <c r="D249" s="32">
        <v>0</v>
      </c>
      <c r="E249" s="5" t="s">
        <v>335</v>
      </c>
      <c r="F249" s="29">
        <f>SUM(F251:F252)</f>
        <v>0</v>
      </c>
      <c r="G249" s="29">
        <f>SUM(G251:G252)</f>
        <v>0</v>
      </c>
      <c r="H249" s="29">
        <f>SUM(H251:H252)</f>
        <v>0</v>
      </c>
      <c r="I249" s="29">
        <v>0</v>
      </c>
      <c r="J249" s="29">
        <v>0</v>
      </c>
      <c r="K249" s="29">
        <v>0</v>
      </c>
      <c r="L249" s="29">
        <v>0</v>
      </c>
    </row>
    <row r="250" spans="1:12" s="37" customFormat="1" x14ac:dyDescent="0.3">
      <c r="A250" s="36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6">
        <v>2921</v>
      </c>
      <c r="B251" s="32" t="s">
        <v>14</v>
      </c>
      <c r="C251" s="32">
        <v>2</v>
      </c>
      <c r="D251" s="32">
        <v>1</v>
      </c>
      <c r="E251" s="5" t="s">
        <v>336</v>
      </c>
      <c r="F251" s="29">
        <f>SUM(G251:H251)</f>
        <v>0</v>
      </c>
      <c r="G251" s="29"/>
      <c r="H251" s="29"/>
      <c r="I251" s="29">
        <v>0</v>
      </c>
      <c r="J251" s="29">
        <v>0</v>
      </c>
      <c r="K251" s="29">
        <v>0</v>
      </c>
      <c r="L251" s="29">
        <v>0</v>
      </c>
    </row>
    <row r="252" spans="1:12" x14ac:dyDescent="0.3">
      <c r="A252" s="36">
        <v>2922</v>
      </c>
      <c r="B252" s="32" t="s">
        <v>14</v>
      </c>
      <c r="C252" s="32">
        <v>2</v>
      </c>
      <c r="D252" s="32">
        <v>2</v>
      </c>
      <c r="E252" s="5" t="s">
        <v>337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ht="40.5" x14ac:dyDescent="0.3">
      <c r="A253" s="36">
        <v>2930</v>
      </c>
      <c r="B253" s="32" t="s">
        <v>14</v>
      </c>
      <c r="C253" s="32">
        <v>3</v>
      </c>
      <c r="D253" s="32">
        <v>0</v>
      </c>
      <c r="E253" s="5" t="s">
        <v>338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7" customFormat="1" x14ac:dyDescent="0.3">
      <c r="A254" s="36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ht="27" x14ac:dyDescent="0.3">
      <c r="A255" s="36">
        <v>2931</v>
      </c>
      <c r="B255" s="32" t="s">
        <v>14</v>
      </c>
      <c r="C255" s="32">
        <v>3</v>
      </c>
      <c r="D255" s="32">
        <v>1</v>
      </c>
      <c r="E255" s="5" t="s">
        <v>339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6">
        <v>2932</v>
      </c>
      <c r="B256" s="32" t="s">
        <v>14</v>
      </c>
      <c r="C256" s="32">
        <v>3</v>
      </c>
      <c r="D256" s="32">
        <v>2</v>
      </c>
      <c r="E256" s="5" t="s">
        <v>340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x14ac:dyDescent="0.3">
      <c r="A257" s="36">
        <v>2940</v>
      </c>
      <c r="B257" s="32" t="s">
        <v>14</v>
      </c>
      <c r="C257" s="32">
        <v>4</v>
      </c>
      <c r="D257" s="32">
        <v>0</v>
      </c>
      <c r="E257" s="5" t="s">
        <v>341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7" customFormat="1" x14ac:dyDescent="0.3">
      <c r="A258" s="36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x14ac:dyDescent="0.3">
      <c r="A259" s="36">
        <v>2941</v>
      </c>
      <c r="B259" s="32" t="s">
        <v>14</v>
      </c>
      <c r="C259" s="32">
        <v>4</v>
      </c>
      <c r="D259" s="32">
        <v>1</v>
      </c>
      <c r="E259" s="5" t="s">
        <v>342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6">
        <v>2942</v>
      </c>
      <c r="B260" s="32" t="s">
        <v>14</v>
      </c>
      <c r="C260" s="32">
        <v>4</v>
      </c>
      <c r="D260" s="32">
        <v>2</v>
      </c>
      <c r="E260" s="5" t="s">
        <v>343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6">
        <v>2950</v>
      </c>
      <c r="B261" s="32" t="s">
        <v>14</v>
      </c>
      <c r="C261" s="32">
        <v>5</v>
      </c>
      <c r="D261" s="32">
        <v>0</v>
      </c>
      <c r="E261" s="5" t="s">
        <v>344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7" customFormat="1" x14ac:dyDescent="0.3">
      <c r="A262" s="36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6">
        <v>2951</v>
      </c>
      <c r="B263" s="32" t="s">
        <v>14</v>
      </c>
      <c r="C263" s="32">
        <v>5</v>
      </c>
      <c r="D263" s="32">
        <v>1</v>
      </c>
      <c r="E263" s="5" t="s">
        <v>345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6">
        <v>2952</v>
      </c>
      <c r="B264" s="32" t="s">
        <v>14</v>
      </c>
      <c r="C264" s="32">
        <v>5</v>
      </c>
      <c r="D264" s="32">
        <v>2</v>
      </c>
      <c r="E264" s="5" t="s">
        <v>346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ht="27" x14ac:dyDescent="0.3">
      <c r="A265" s="36">
        <v>2960</v>
      </c>
      <c r="B265" s="32" t="s">
        <v>14</v>
      </c>
      <c r="C265" s="32">
        <v>6</v>
      </c>
      <c r="D265" s="32">
        <v>0</v>
      </c>
      <c r="E265" s="5" t="s">
        <v>347</v>
      </c>
      <c r="F265" s="29">
        <f>+'4.Gorcarakan ev tntesagitakan'!H687</f>
        <v>158022.755</v>
      </c>
      <c r="G265" s="29">
        <f>+'4.Gorcarakan ev tntesagitakan'!I687</f>
        <v>148022.755</v>
      </c>
      <c r="H265" s="29">
        <f>+'4.Gorcarakan ev tntesagitakan'!J687</f>
        <v>10000</v>
      </c>
      <c r="I265" s="29">
        <f>+'4.Gorcarakan ev tntesagitakan'!K687</f>
        <v>31167.427380951947</v>
      </c>
      <c r="J265" s="29">
        <f>+'4.Gorcarakan ev tntesagitakan'!L687</f>
        <v>65193.833551586562</v>
      </c>
      <c r="K265" s="29">
        <f>+'4.Gorcarakan ev tntesagitakan'!M687</f>
        <v>114708.1162103175</v>
      </c>
      <c r="L265" s="29">
        <f>+'4.Gorcarakan ev tntesagitakan'!N687</f>
        <v>158022.755</v>
      </c>
    </row>
    <row r="266" spans="1:12" s="37" customFormat="1" x14ac:dyDescent="0.3">
      <c r="A266" s="36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ht="27" x14ac:dyDescent="0.3">
      <c r="A267" s="38">
        <v>2961</v>
      </c>
      <c r="B267" s="32" t="s">
        <v>14</v>
      </c>
      <c r="C267" s="32">
        <v>6</v>
      </c>
      <c r="D267" s="32">
        <v>1</v>
      </c>
      <c r="E267" s="5" t="s">
        <v>347</v>
      </c>
      <c r="F267" s="29">
        <f>+'4.Gorcarakan ev tntesagitakan'!H689</f>
        <v>158022.755</v>
      </c>
      <c r="G267" s="29">
        <f>+'4.Gorcarakan ev tntesagitakan'!I689</f>
        <v>148022.755</v>
      </c>
      <c r="H267" s="29">
        <f>+'4.Gorcarakan ev tntesagitakan'!J689</f>
        <v>10000</v>
      </c>
      <c r="I267" s="29">
        <f>+'4.Gorcarakan ev tntesagitakan'!K689</f>
        <v>31167.427380951947</v>
      </c>
      <c r="J267" s="29">
        <f>+'4.Gorcarakan ev tntesagitakan'!L689</f>
        <v>65193.833551586562</v>
      </c>
      <c r="K267" s="29">
        <f>+'4.Gorcarakan ev tntesagitakan'!M689</f>
        <v>114708.1162103175</v>
      </c>
      <c r="L267" s="29">
        <f>+'4.Gorcarakan ev tntesagitakan'!N689</f>
        <v>158022.755</v>
      </c>
    </row>
    <row r="268" spans="1:12" ht="27" x14ac:dyDescent="0.3">
      <c r="A268" s="38">
        <v>2970</v>
      </c>
      <c r="B268" s="32" t="s">
        <v>14</v>
      </c>
      <c r="C268" s="32">
        <v>7</v>
      </c>
      <c r="D268" s="32">
        <v>0</v>
      </c>
      <c r="E268" s="5" t="s">
        <v>348</v>
      </c>
      <c r="F268" s="29">
        <f>SUM(F270)</f>
        <v>0</v>
      </c>
      <c r="G268" s="29">
        <f>SUM(G270)</f>
        <v>0</v>
      </c>
      <c r="H268" s="29">
        <f>SUM(H270)</f>
        <v>0</v>
      </c>
      <c r="I268" s="29">
        <v>0</v>
      </c>
      <c r="J268" s="29">
        <v>0</v>
      </c>
      <c r="K268" s="29">
        <v>0</v>
      </c>
      <c r="L268" s="29">
        <v>0</v>
      </c>
    </row>
    <row r="269" spans="1:12" s="37" customFormat="1" x14ac:dyDescent="0.3">
      <c r="A269" s="38"/>
      <c r="B269" s="32"/>
      <c r="C269" s="32"/>
      <c r="D269" s="32"/>
      <c r="E269" s="5" t="s">
        <v>156</v>
      </c>
      <c r="F269" s="29"/>
      <c r="G269" s="29"/>
      <c r="H269" s="29"/>
      <c r="I269" s="29"/>
      <c r="J269" s="29"/>
      <c r="K269" s="29"/>
      <c r="L269" s="29"/>
    </row>
    <row r="270" spans="1:12" ht="27" x14ac:dyDescent="0.3">
      <c r="A270" s="38">
        <v>2971</v>
      </c>
      <c r="B270" s="32" t="s">
        <v>14</v>
      </c>
      <c r="C270" s="32">
        <v>7</v>
      </c>
      <c r="D270" s="32">
        <v>1</v>
      </c>
      <c r="E270" s="5" t="s">
        <v>348</v>
      </c>
      <c r="F270" s="29">
        <f>SUM(G270:H270)</f>
        <v>0</v>
      </c>
      <c r="G270" s="29"/>
      <c r="H270" s="29"/>
      <c r="I270" s="29">
        <v>0</v>
      </c>
      <c r="J270" s="29">
        <v>0</v>
      </c>
      <c r="K270" s="29">
        <v>0</v>
      </c>
      <c r="L270" s="29">
        <v>0</v>
      </c>
    </row>
    <row r="271" spans="1:12" x14ac:dyDescent="0.3">
      <c r="A271" s="38">
        <v>2980</v>
      </c>
      <c r="B271" s="32" t="s">
        <v>14</v>
      </c>
      <c r="C271" s="32">
        <v>8</v>
      </c>
      <c r="D271" s="32">
        <v>0</v>
      </c>
      <c r="E271" s="5" t="s">
        <v>349</v>
      </c>
      <c r="F271" s="29">
        <f>SUM(F273)</f>
        <v>0</v>
      </c>
      <c r="G271" s="29">
        <f>SUM(G273)</f>
        <v>0</v>
      </c>
      <c r="H271" s="29">
        <f>SUM(H273)</f>
        <v>0</v>
      </c>
      <c r="I271" s="29">
        <v>0</v>
      </c>
      <c r="J271" s="29">
        <v>0</v>
      </c>
      <c r="K271" s="29">
        <v>0</v>
      </c>
      <c r="L271" s="29">
        <v>0</v>
      </c>
    </row>
    <row r="272" spans="1:12" s="37" customFormat="1" x14ac:dyDescent="0.3">
      <c r="A272" s="38"/>
      <c r="B272" s="32"/>
      <c r="C272" s="32"/>
      <c r="D272" s="32"/>
      <c r="E272" s="5" t="s">
        <v>156</v>
      </c>
      <c r="F272" s="29"/>
      <c r="G272" s="29"/>
      <c r="H272" s="29"/>
      <c r="I272" s="29"/>
      <c r="J272" s="29"/>
      <c r="K272" s="29"/>
      <c r="L272" s="29"/>
    </row>
    <row r="273" spans="1:12" x14ac:dyDescent="0.3">
      <c r="A273" s="38">
        <v>2981</v>
      </c>
      <c r="B273" s="32" t="s">
        <v>14</v>
      </c>
      <c r="C273" s="32">
        <v>8</v>
      </c>
      <c r="D273" s="32">
        <v>1</v>
      </c>
      <c r="E273" s="5" t="s">
        <v>349</v>
      </c>
      <c r="F273" s="29">
        <f>SUM(G273:H273)</f>
        <v>0</v>
      </c>
      <c r="G273" s="29"/>
      <c r="H273" s="29"/>
      <c r="I273" s="29">
        <v>0</v>
      </c>
      <c r="J273" s="29">
        <v>0</v>
      </c>
      <c r="K273" s="29">
        <v>0</v>
      </c>
      <c r="L273" s="29">
        <v>0</v>
      </c>
    </row>
    <row r="274" spans="1:12" s="34" customFormat="1" ht="40.5" x14ac:dyDescent="0.25">
      <c r="A274" s="38">
        <v>3000</v>
      </c>
      <c r="B274" s="32" t="s">
        <v>15</v>
      </c>
      <c r="C274" s="32">
        <v>0</v>
      </c>
      <c r="D274" s="32">
        <v>0</v>
      </c>
      <c r="E274" s="5" t="s">
        <v>350</v>
      </c>
      <c r="F274" s="29">
        <f>+F276+F280+F283+F286+F289+F292+F295+F298+F302</f>
        <v>50306</v>
      </c>
      <c r="G274" s="29">
        <f t="shared" ref="G274:L274" si="18">+G276+G280+G283+G286+G289+G292+G295+G298+G302</f>
        <v>50306</v>
      </c>
      <c r="H274" s="29">
        <f t="shared" si="18"/>
        <v>0</v>
      </c>
      <c r="I274" s="29">
        <f t="shared" si="18"/>
        <v>2321.7142857142858</v>
      </c>
      <c r="J274" s="29">
        <f t="shared" si="18"/>
        <v>8737.0555555555547</v>
      </c>
      <c r="K274" s="29">
        <f>+K276+K280+K283+K286+K289+K292+K295+K298+K302</f>
        <v>23626.722222222219</v>
      </c>
      <c r="L274" s="29">
        <f t="shared" si="18"/>
        <v>50306</v>
      </c>
    </row>
    <row r="275" spans="1:12" x14ac:dyDescent="0.3">
      <c r="A275" s="38"/>
      <c r="B275" s="32"/>
      <c r="C275" s="32"/>
      <c r="D275" s="32"/>
      <c r="E275" s="5" t="s">
        <v>154</v>
      </c>
      <c r="F275" s="29"/>
      <c r="G275" s="29"/>
      <c r="H275" s="29"/>
      <c r="I275" s="29"/>
      <c r="J275" s="29"/>
      <c r="K275" s="29"/>
      <c r="L275" s="29"/>
    </row>
    <row r="276" spans="1:12" x14ac:dyDescent="0.3">
      <c r="A276" s="38">
        <v>3010</v>
      </c>
      <c r="B276" s="32" t="s">
        <v>15</v>
      </c>
      <c r="C276" s="32">
        <v>1</v>
      </c>
      <c r="D276" s="32">
        <v>0</v>
      </c>
      <c r="E276" s="5" t="s">
        <v>351</v>
      </c>
      <c r="F276" s="29">
        <f>SUM(F278:F279)</f>
        <v>0</v>
      </c>
      <c r="G276" s="29">
        <f>SUM(G278:G279)</f>
        <v>0</v>
      </c>
      <c r="H276" s="29">
        <f>SUM(H278:H279)</f>
        <v>0</v>
      </c>
      <c r="I276" s="29">
        <v>0</v>
      </c>
      <c r="J276" s="29">
        <v>0</v>
      </c>
      <c r="K276" s="29">
        <v>0</v>
      </c>
      <c r="L276" s="29">
        <v>0</v>
      </c>
    </row>
    <row r="277" spans="1:12" s="37" customFormat="1" x14ac:dyDescent="0.3">
      <c r="A277" s="38"/>
      <c r="B277" s="32"/>
      <c r="C277" s="32"/>
      <c r="D277" s="32"/>
      <c r="E277" s="5" t="s">
        <v>156</v>
      </c>
      <c r="F277" s="29"/>
      <c r="G277" s="29"/>
      <c r="H277" s="29"/>
      <c r="I277" s="29"/>
      <c r="J277" s="29"/>
      <c r="K277" s="29"/>
      <c r="L277" s="29"/>
    </row>
    <row r="278" spans="1:12" x14ac:dyDescent="0.3">
      <c r="A278" s="38">
        <v>3011</v>
      </c>
      <c r="B278" s="32" t="s">
        <v>15</v>
      </c>
      <c r="C278" s="32">
        <v>1</v>
      </c>
      <c r="D278" s="32">
        <v>1</v>
      </c>
      <c r="E278" s="5" t="s">
        <v>352</v>
      </c>
      <c r="F278" s="29">
        <f>SUM(G278:H278)</f>
        <v>0</v>
      </c>
      <c r="G278" s="29"/>
      <c r="H278" s="29"/>
      <c r="I278" s="29">
        <v>0</v>
      </c>
      <c r="J278" s="29">
        <v>0</v>
      </c>
      <c r="K278" s="29">
        <v>0</v>
      </c>
      <c r="L278" s="29">
        <v>0</v>
      </c>
    </row>
    <row r="279" spans="1:12" x14ac:dyDescent="0.3">
      <c r="A279" s="38">
        <v>3012</v>
      </c>
      <c r="B279" s="32" t="s">
        <v>15</v>
      </c>
      <c r="C279" s="32">
        <v>1</v>
      </c>
      <c r="D279" s="32">
        <v>2</v>
      </c>
      <c r="E279" s="5" t="s">
        <v>353</v>
      </c>
      <c r="F279" s="29">
        <f>SUM(G279:H279)</f>
        <v>0</v>
      </c>
      <c r="G279" s="29"/>
      <c r="H279" s="29"/>
      <c r="I279" s="29">
        <v>0</v>
      </c>
      <c r="J279" s="29">
        <v>0</v>
      </c>
      <c r="K279" s="29">
        <v>0</v>
      </c>
      <c r="L279" s="29">
        <v>0</v>
      </c>
    </row>
    <row r="280" spans="1:12" x14ac:dyDescent="0.3">
      <c r="A280" s="38">
        <v>3020</v>
      </c>
      <c r="B280" s="32" t="s">
        <v>15</v>
      </c>
      <c r="C280" s="32">
        <v>2</v>
      </c>
      <c r="D280" s="32">
        <v>0</v>
      </c>
      <c r="E280" s="5" t="s">
        <v>354</v>
      </c>
      <c r="F280" s="29">
        <f>SUM(F282)</f>
        <v>0</v>
      </c>
      <c r="G280" s="29">
        <f>SUM(G282)</f>
        <v>0</v>
      </c>
      <c r="H280" s="29">
        <f>SUM(H282)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7" customFormat="1" x14ac:dyDescent="0.3">
      <c r="A281" s="38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8">
        <v>3021</v>
      </c>
      <c r="B282" s="32" t="s">
        <v>15</v>
      </c>
      <c r="C282" s="32">
        <v>2</v>
      </c>
      <c r="D282" s="32">
        <v>1</v>
      </c>
      <c r="E282" s="5" t="s">
        <v>354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8">
        <v>3030</v>
      </c>
      <c r="B283" s="32" t="s">
        <v>15</v>
      </c>
      <c r="C283" s="32">
        <v>3</v>
      </c>
      <c r="D283" s="32">
        <v>0</v>
      </c>
      <c r="E283" s="5" t="s">
        <v>355</v>
      </c>
      <c r="F283" s="29">
        <f>+F285</f>
        <v>2606</v>
      </c>
      <c r="G283" s="29">
        <f t="shared" ref="G283:L283" si="19">+G285</f>
        <v>2606</v>
      </c>
      <c r="H283" s="29">
        <f t="shared" si="19"/>
        <v>0</v>
      </c>
      <c r="I283" s="29">
        <f t="shared" si="19"/>
        <v>726.47619047619048</v>
      </c>
      <c r="J283" s="29">
        <f t="shared" si="19"/>
        <v>1357.2936507936508</v>
      </c>
      <c r="K283" s="29">
        <f t="shared" si="19"/>
        <v>2039.8174603174605</v>
      </c>
      <c r="L283" s="29">
        <f t="shared" si="19"/>
        <v>2606</v>
      </c>
    </row>
    <row r="284" spans="1:12" s="37" customFormat="1" x14ac:dyDescent="0.3">
      <c r="A284" s="38"/>
      <c r="B284" s="32"/>
      <c r="C284" s="32"/>
      <c r="D284" s="32"/>
      <c r="E284" s="5" t="s">
        <v>156</v>
      </c>
      <c r="F284" s="29"/>
      <c r="G284" s="29"/>
      <c r="H284" s="29"/>
      <c r="I284" s="29"/>
      <c r="J284" s="29"/>
      <c r="K284" s="29"/>
      <c r="L284" s="29"/>
    </row>
    <row r="285" spans="1:12" s="37" customFormat="1" x14ac:dyDescent="0.3">
      <c r="A285" s="38">
        <v>3031</v>
      </c>
      <c r="B285" s="32" t="s">
        <v>15</v>
      </c>
      <c r="C285" s="32">
        <v>3</v>
      </c>
      <c r="D285" s="32" t="s">
        <v>4</v>
      </c>
      <c r="E285" s="5" t="s">
        <v>355</v>
      </c>
      <c r="F285" s="29">
        <f>+'4.Gorcarakan ev tntesagitakan'!H722</f>
        <v>2606</v>
      </c>
      <c r="G285" s="29">
        <f>+'4.Gorcarakan ev tntesagitakan'!I722</f>
        <v>2606</v>
      </c>
      <c r="H285" s="29"/>
      <c r="I285" s="29">
        <f>+'4.Gorcarakan ev tntesagitakan'!K722</f>
        <v>726.47619047619048</v>
      </c>
      <c r="J285" s="29">
        <f>+'4.Gorcarakan ev tntesagitakan'!L722</f>
        <v>1357.2936507936508</v>
      </c>
      <c r="K285" s="29">
        <f>+'4.Gorcarakan ev tntesagitakan'!M722</f>
        <v>2039.8174603174605</v>
      </c>
      <c r="L285" s="29">
        <f>+'4.Gorcarakan ev tntesagitakan'!N722</f>
        <v>2606</v>
      </c>
    </row>
    <row r="286" spans="1:12" x14ac:dyDescent="0.3">
      <c r="A286" s="38">
        <v>3040</v>
      </c>
      <c r="B286" s="32" t="s">
        <v>15</v>
      </c>
      <c r="C286" s="32">
        <v>4</v>
      </c>
      <c r="D286" s="32">
        <v>0</v>
      </c>
      <c r="E286" s="5" t="s">
        <v>356</v>
      </c>
      <c r="F286" s="29">
        <f>+F288</f>
        <v>20000</v>
      </c>
      <c r="G286" s="29">
        <f>+G288</f>
        <v>20000</v>
      </c>
      <c r="H286" s="29">
        <f>+H288</f>
        <v>0</v>
      </c>
      <c r="I286" s="29">
        <f>+'4.Gorcarakan ev tntesagitakan'!K728</f>
        <v>0</v>
      </c>
      <c r="J286" s="29">
        <f>+'4.Gorcarakan ev tntesagitakan'!L728</f>
        <v>0</v>
      </c>
      <c r="K286" s="29">
        <f>+'4.Gorcarakan ev tntesagitakan'!M728</f>
        <v>0</v>
      </c>
      <c r="L286" s="29">
        <f>+'4.Gorcarakan ev tntesagitakan'!N728</f>
        <v>20000</v>
      </c>
    </row>
    <row r="287" spans="1:12" s="37" customFormat="1" x14ac:dyDescent="0.3">
      <c r="A287" s="38"/>
      <c r="B287" s="32"/>
      <c r="C287" s="32"/>
      <c r="D287" s="32"/>
      <c r="E287" s="5" t="s">
        <v>156</v>
      </c>
      <c r="F287" s="29"/>
      <c r="G287" s="29"/>
      <c r="H287" s="29"/>
      <c r="I287" s="29"/>
      <c r="J287" s="29"/>
      <c r="K287" s="29"/>
      <c r="L287" s="29"/>
    </row>
    <row r="288" spans="1:12" x14ac:dyDescent="0.3">
      <c r="A288" s="38">
        <v>3041</v>
      </c>
      <c r="B288" s="32" t="s">
        <v>15</v>
      </c>
      <c r="C288" s="32">
        <v>4</v>
      </c>
      <c r="D288" s="32">
        <v>1</v>
      </c>
      <c r="E288" s="5" t="s">
        <v>356</v>
      </c>
      <c r="F288" s="29">
        <f>+'4.Gorcarakan ev tntesagitakan'!H728</f>
        <v>20000</v>
      </c>
      <c r="G288" s="29">
        <f>+'4.Gorcarakan ev tntesagitakan'!I728</f>
        <v>20000</v>
      </c>
      <c r="H288" s="29">
        <f>+'4.Gorcarakan ev tntesagitakan'!J728</f>
        <v>0</v>
      </c>
      <c r="I288" s="29">
        <f>+'4.Gorcarakan ev tntesagitakan'!K728</f>
        <v>0</v>
      </c>
      <c r="J288" s="29">
        <f>+'4.Gorcarakan ev tntesagitakan'!L728</f>
        <v>0</v>
      </c>
      <c r="K288" s="29">
        <f>+'4.Gorcarakan ev tntesagitakan'!M728</f>
        <v>0</v>
      </c>
      <c r="L288" s="29">
        <f>+'4.Gorcarakan ev tntesagitakan'!N728</f>
        <v>20000</v>
      </c>
    </row>
    <row r="289" spans="1:12" x14ac:dyDescent="0.3">
      <c r="A289" s="38">
        <v>3050</v>
      </c>
      <c r="B289" s="32" t="s">
        <v>15</v>
      </c>
      <c r="C289" s="32">
        <v>5</v>
      </c>
      <c r="D289" s="32">
        <v>0</v>
      </c>
      <c r="E289" s="5" t="s">
        <v>357</v>
      </c>
      <c r="F289" s="29">
        <f>SUM(F291)</f>
        <v>0</v>
      </c>
      <c r="G289" s="29">
        <f>SUM(G291)</f>
        <v>0</v>
      </c>
      <c r="H289" s="29">
        <f>SUM(H291)</f>
        <v>0</v>
      </c>
      <c r="I289" s="29">
        <v>0</v>
      </c>
      <c r="J289" s="29">
        <v>0</v>
      </c>
      <c r="K289" s="29">
        <v>0</v>
      </c>
      <c r="L289" s="29">
        <v>0</v>
      </c>
    </row>
    <row r="290" spans="1:12" s="37" customFormat="1" x14ac:dyDescent="0.3">
      <c r="A290" s="38"/>
      <c r="B290" s="32"/>
      <c r="C290" s="32"/>
      <c r="D290" s="32"/>
      <c r="E290" s="5" t="s">
        <v>156</v>
      </c>
      <c r="F290" s="29"/>
      <c r="G290" s="29"/>
      <c r="H290" s="29"/>
      <c r="I290" s="29"/>
      <c r="J290" s="29"/>
      <c r="K290" s="29"/>
      <c r="L290" s="29"/>
    </row>
    <row r="291" spans="1:12" x14ac:dyDescent="0.3">
      <c r="A291" s="38">
        <v>3051</v>
      </c>
      <c r="B291" s="32" t="s">
        <v>15</v>
      </c>
      <c r="C291" s="32">
        <v>5</v>
      </c>
      <c r="D291" s="32">
        <v>1</v>
      </c>
      <c r="E291" s="5" t="s">
        <v>357</v>
      </c>
      <c r="F291" s="29">
        <f>SUM(G291:H291)</f>
        <v>0</v>
      </c>
      <c r="G291" s="29"/>
      <c r="H291" s="29"/>
      <c r="I291" s="29">
        <v>0</v>
      </c>
      <c r="J291" s="29">
        <v>0</v>
      </c>
      <c r="K291" s="29">
        <v>0</v>
      </c>
      <c r="L291" s="29">
        <v>0</v>
      </c>
    </row>
    <row r="292" spans="1:12" x14ac:dyDescent="0.3">
      <c r="A292" s="38">
        <v>3060</v>
      </c>
      <c r="B292" s="32" t="s">
        <v>15</v>
      </c>
      <c r="C292" s="32">
        <v>6</v>
      </c>
      <c r="D292" s="32">
        <v>0</v>
      </c>
      <c r="E292" s="5" t="s">
        <v>358</v>
      </c>
      <c r="F292" s="29">
        <f>+F294</f>
        <v>1200</v>
      </c>
      <c r="G292" s="29">
        <f t="shared" ref="G292:L292" si="20">+G294</f>
        <v>1200</v>
      </c>
      <c r="H292" s="29">
        <f t="shared" si="20"/>
        <v>0</v>
      </c>
      <c r="I292" s="29">
        <f t="shared" si="20"/>
        <v>285.71428571428572</v>
      </c>
      <c r="J292" s="29">
        <f t="shared" si="20"/>
        <v>576.19047619047615</v>
      </c>
      <c r="K292" s="29">
        <f t="shared" si="20"/>
        <v>890.47619047619048</v>
      </c>
      <c r="L292" s="29">
        <f t="shared" si="20"/>
        <v>1200</v>
      </c>
    </row>
    <row r="293" spans="1:12" s="37" customFormat="1" x14ac:dyDescent="0.3">
      <c r="A293" s="38"/>
      <c r="B293" s="32"/>
      <c r="C293" s="32"/>
      <c r="D293" s="32"/>
      <c r="E293" s="5" t="s">
        <v>156</v>
      </c>
      <c r="F293" s="29"/>
      <c r="G293" s="29"/>
      <c r="H293" s="29"/>
      <c r="I293" s="29"/>
      <c r="J293" s="29"/>
      <c r="K293" s="29"/>
      <c r="L293" s="29"/>
    </row>
    <row r="294" spans="1:12" x14ac:dyDescent="0.3">
      <c r="A294" s="38">
        <v>3061</v>
      </c>
      <c r="B294" s="32" t="s">
        <v>15</v>
      </c>
      <c r="C294" s="32">
        <v>6</v>
      </c>
      <c r="D294" s="32">
        <v>1</v>
      </c>
      <c r="E294" s="5" t="s">
        <v>358</v>
      </c>
      <c r="F294" s="29">
        <f>+'4.Gorcarakan ev tntesagitakan'!H737</f>
        <v>1200</v>
      </c>
      <c r="G294" s="29">
        <f>+'4.Gorcarakan ev tntesagitakan'!I737</f>
        <v>1200</v>
      </c>
      <c r="H294" s="29">
        <f>+'4.Gorcarakan ev tntesagitakan'!J737</f>
        <v>0</v>
      </c>
      <c r="I294" s="29">
        <f>+'4.Gorcarakan ev tntesagitakan'!K737</f>
        <v>285.71428571428572</v>
      </c>
      <c r="J294" s="29">
        <f>+'4.Gorcarakan ev tntesagitakan'!L737</f>
        <v>576.19047619047615</v>
      </c>
      <c r="K294" s="29">
        <f>+'4.Gorcarakan ev tntesagitakan'!M737</f>
        <v>890.47619047619048</v>
      </c>
      <c r="L294" s="29">
        <f>+'4.Gorcarakan ev tntesagitakan'!N737</f>
        <v>1200</v>
      </c>
    </row>
    <row r="295" spans="1:12" ht="27" x14ac:dyDescent="0.3">
      <c r="A295" s="38">
        <v>3070</v>
      </c>
      <c r="B295" s="32" t="s">
        <v>15</v>
      </c>
      <c r="C295" s="32">
        <v>7</v>
      </c>
      <c r="D295" s="32">
        <v>0</v>
      </c>
      <c r="E295" s="5" t="s">
        <v>359</v>
      </c>
      <c r="F295" s="29">
        <f>+F297</f>
        <v>26500</v>
      </c>
      <c r="G295" s="29">
        <f t="shared" ref="G295:L295" si="21">+G297</f>
        <v>26500</v>
      </c>
      <c r="H295" s="29">
        <f t="shared" si="21"/>
        <v>0</v>
      </c>
      <c r="I295" s="29">
        <f t="shared" si="21"/>
        <v>1309.5238095238096</v>
      </c>
      <c r="J295" s="29">
        <f t="shared" si="21"/>
        <v>6803.5714285714275</v>
      </c>
      <c r="K295" s="29">
        <f t="shared" si="21"/>
        <v>20696.428571428569</v>
      </c>
      <c r="L295" s="29">
        <f t="shared" si="21"/>
        <v>26500</v>
      </c>
    </row>
    <row r="296" spans="1:12" s="37" customFormat="1" x14ac:dyDescent="0.3">
      <c r="A296" s="38"/>
      <c r="B296" s="32"/>
      <c r="C296" s="32"/>
      <c r="D296" s="32"/>
      <c r="E296" s="5" t="s">
        <v>156</v>
      </c>
      <c r="F296" s="29"/>
      <c r="G296" s="29"/>
      <c r="H296" s="29"/>
      <c r="I296" s="29"/>
      <c r="J296" s="29"/>
      <c r="K296" s="29"/>
      <c r="L296" s="29"/>
    </row>
    <row r="297" spans="1:12" ht="27" x14ac:dyDescent="0.3">
      <c r="A297" s="38">
        <v>3071</v>
      </c>
      <c r="B297" s="32" t="s">
        <v>15</v>
      </c>
      <c r="C297" s="32">
        <v>7</v>
      </c>
      <c r="D297" s="32">
        <v>1</v>
      </c>
      <c r="E297" s="5" t="s">
        <v>359</v>
      </c>
      <c r="F297" s="29">
        <f>+'4.Gorcarakan ev tntesagitakan'!H744</f>
        <v>26500</v>
      </c>
      <c r="G297" s="29">
        <f>+'4.Gorcarakan ev tntesagitakan'!I744</f>
        <v>26500</v>
      </c>
      <c r="H297" s="29">
        <f>+'4.Gorcarakan ev tntesagitakan'!J744</f>
        <v>0</v>
      </c>
      <c r="I297" s="29">
        <f>+'4.Gorcarakan ev tntesagitakan'!K744</f>
        <v>1309.5238095238096</v>
      </c>
      <c r="J297" s="29">
        <f>+'4.Gorcarakan ev tntesagitakan'!L744</f>
        <v>6803.5714285714275</v>
      </c>
      <c r="K297" s="29">
        <f>+'4.Gorcarakan ev tntesagitakan'!M744</f>
        <v>20696.428571428569</v>
      </c>
      <c r="L297" s="29">
        <f>+'4.Gorcarakan ev tntesagitakan'!N744</f>
        <v>26500</v>
      </c>
    </row>
    <row r="298" spans="1:12" ht="27" x14ac:dyDescent="0.3">
      <c r="A298" s="38">
        <v>3080</v>
      </c>
      <c r="B298" s="32" t="s">
        <v>15</v>
      </c>
      <c r="C298" s="32">
        <v>8</v>
      </c>
      <c r="D298" s="32">
        <v>0</v>
      </c>
      <c r="E298" s="5" t="s">
        <v>360</v>
      </c>
      <c r="F298" s="29">
        <f>SUM(F300)</f>
        <v>0</v>
      </c>
      <c r="G298" s="29">
        <f>SUM(G300)</f>
        <v>0</v>
      </c>
      <c r="H298" s="29">
        <f>SUM(H300)</f>
        <v>0</v>
      </c>
      <c r="I298" s="29">
        <v>0</v>
      </c>
      <c r="J298" s="29">
        <v>0</v>
      </c>
      <c r="K298" s="29">
        <v>0</v>
      </c>
      <c r="L298" s="29">
        <v>0</v>
      </c>
    </row>
    <row r="299" spans="1:12" s="37" customFormat="1" x14ac:dyDescent="0.3">
      <c r="A299" s="38"/>
      <c r="B299" s="32"/>
      <c r="C299" s="32"/>
      <c r="D299" s="32"/>
      <c r="E299" s="5" t="s">
        <v>156</v>
      </c>
      <c r="F299" s="29"/>
      <c r="G299" s="29"/>
      <c r="H299" s="29"/>
      <c r="I299" s="29"/>
      <c r="J299" s="29"/>
      <c r="K299" s="29"/>
      <c r="L299" s="29"/>
    </row>
    <row r="300" spans="1:12" ht="27" x14ac:dyDescent="0.3">
      <c r="A300" s="38">
        <v>3081</v>
      </c>
      <c r="B300" s="32" t="s">
        <v>15</v>
      </c>
      <c r="C300" s="32">
        <v>8</v>
      </c>
      <c r="D300" s="32">
        <v>1</v>
      </c>
      <c r="E300" s="5" t="s">
        <v>360</v>
      </c>
      <c r="F300" s="29">
        <f>SUM(G300:H300)</f>
        <v>0</v>
      </c>
      <c r="G300" s="29"/>
      <c r="H300" s="29"/>
      <c r="I300" s="29">
        <v>0</v>
      </c>
      <c r="J300" s="29">
        <v>0</v>
      </c>
      <c r="K300" s="29">
        <v>0</v>
      </c>
      <c r="L300" s="29">
        <v>0</v>
      </c>
    </row>
    <row r="301" spans="1:12" s="37" customFormat="1" x14ac:dyDescent="0.3">
      <c r="A301" s="38"/>
      <c r="B301" s="32"/>
      <c r="C301" s="32"/>
      <c r="D301" s="32"/>
      <c r="E301" s="5" t="s">
        <v>156</v>
      </c>
      <c r="F301" s="29"/>
      <c r="G301" s="29"/>
      <c r="H301" s="29"/>
      <c r="I301" s="29"/>
      <c r="J301" s="29"/>
      <c r="K301" s="29"/>
      <c r="L301" s="29"/>
    </row>
    <row r="302" spans="1:12" ht="27" x14ac:dyDescent="0.3">
      <c r="A302" s="38">
        <v>3090</v>
      </c>
      <c r="B302" s="32" t="s">
        <v>15</v>
      </c>
      <c r="C302" s="32">
        <v>9</v>
      </c>
      <c r="D302" s="32">
        <v>0</v>
      </c>
      <c r="E302" s="5" t="s">
        <v>361</v>
      </c>
      <c r="F302" s="29">
        <f>+F304</f>
        <v>0</v>
      </c>
      <c r="G302" s="29">
        <f t="shared" ref="G302:L302" si="22">+G304</f>
        <v>0</v>
      </c>
      <c r="H302" s="29"/>
      <c r="I302" s="29">
        <f t="shared" si="22"/>
        <v>0</v>
      </c>
      <c r="J302" s="29">
        <f t="shared" si="22"/>
        <v>0</v>
      </c>
      <c r="K302" s="29">
        <f t="shared" si="22"/>
        <v>0</v>
      </c>
      <c r="L302" s="29">
        <f t="shared" si="22"/>
        <v>0</v>
      </c>
    </row>
    <row r="303" spans="1:12" s="37" customFormat="1" x14ac:dyDescent="0.3">
      <c r="A303" s="38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8">
        <v>3091</v>
      </c>
      <c r="B304" s="32" t="s">
        <v>15</v>
      </c>
      <c r="C304" s="32">
        <v>9</v>
      </c>
      <c r="D304" s="32">
        <v>1</v>
      </c>
      <c r="E304" s="5" t="s">
        <v>361</v>
      </c>
      <c r="F304" s="29">
        <f>+'4.Gorcarakan ev tntesagitakan'!H757</f>
        <v>0</v>
      </c>
      <c r="G304" s="29">
        <f>+'4.Gorcarakan ev tntesagitakan'!I757</f>
        <v>0</v>
      </c>
      <c r="H304" s="29"/>
      <c r="I304" s="29">
        <f>+'4.Gorcarakan ev tntesagitakan'!K757</f>
        <v>0</v>
      </c>
      <c r="J304" s="29">
        <f>+'4.Gorcarakan ev tntesagitakan'!L757</f>
        <v>0</v>
      </c>
      <c r="K304" s="29">
        <f>+'4.Gorcarakan ev tntesagitakan'!M757</f>
        <v>0</v>
      </c>
      <c r="L304" s="29">
        <f>+'4.Gorcarakan ev tntesagitakan'!N757</f>
        <v>0</v>
      </c>
    </row>
    <row r="305" spans="1:12" ht="40.5" x14ac:dyDescent="0.3">
      <c r="A305" s="38">
        <v>3092</v>
      </c>
      <c r="B305" s="32" t="s">
        <v>15</v>
      </c>
      <c r="C305" s="32">
        <v>9</v>
      </c>
      <c r="D305" s="32">
        <v>2</v>
      </c>
      <c r="E305" s="5" t="s">
        <v>362</v>
      </c>
      <c r="F305" s="29"/>
      <c r="G305" s="29"/>
      <c r="H305" s="29"/>
      <c r="I305" s="29">
        <v>0</v>
      </c>
      <c r="J305" s="29">
        <v>0</v>
      </c>
      <c r="K305" s="29">
        <v>0</v>
      </c>
      <c r="L305" s="29">
        <v>0</v>
      </c>
    </row>
    <row r="306" spans="1:12" s="34" customFormat="1" ht="27" x14ac:dyDescent="0.25">
      <c r="A306" s="39">
        <v>3100</v>
      </c>
      <c r="B306" s="32" t="s">
        <v>16</v>
      </c>
      <c r="C306" s="32">
        <v>0</v>
      </c>
      <c r="D306" s="32">
        <v>0</v>
      </c>
      <c r="E306" s="6" t="s">
        <v>363</v>
      </c>
      <c r="F306" s="29"/>
      <c r="G306" s="29">
        <f t="shared" ref="G306:L306" si="23">+G308</f>
        <v>925983</v>
      </c>
      <c r="H306" s="29">
        <f t="shared" si="23"/>
        <v>925983</v>
      </c>
      <c r="I306" s="29">
        <f t="shared" si="23"/>
        <v>345364</v>
      </c>
      <c r="J306" s="29">
        <f t="shared" si="23"/>
        <v>532603</v>
      </c>
      <c r="K306" s="29">
        <f t="shared" si="23"/>
        <v>726707</v>
      </c>
      <c r="L306" s="29">
        <f t="shared" si="23"/>
        <v>925983</v>
      </c>
    </row>
    <row r="307" spans="1:12" x14ac:dyDescent="0.3">
      <c r="A307" s="39"/>
      <c r="B307" s="32"/>
      <c r="C307" s="32"/>
      <c r="D307" s="32"/>
      <c r="E307" s="5" t="s">
        <v>154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9">
        <v>3110</v>
      </c>
      <c r="B308" s="32" t="s">
        <v>16</v>
      </c>
      <c r="C308" s="32">
        <v>1</v>
      </c>
      <c r="D308" s="32">
        <v>0</v>
      </c>
      <c r="E308" s="6" t="s">
        <v>364</v>
      </c>
      <c r="F308" s="29"/>
      <c r="G308" s="29">
        <f t="shared" ref="G308:L308" si="24">+G310</f>
        <v>925983</v>
      </c>
      <c r="H308" s="29">
        <f t="shared" si="24"/>
        <v>925983</v>
      </c>
      <c r="I308" s="29">
        <f t="shared" si="24"/>
        <v>345364</v>
      </c>
      <c r="J308" s="29">
        <f t="shared" si="24"/>
        <v>532603</v>
      </c>
      <c r="K308" s="29">
        <f t="shared" si="24"/>
        <v>726707</v>
      </c>
      <c r="L308" s="29">
        <f t="shared" si="24"/>
        <v>925983</v>
      </c>
    </row>
    <row r="309" spans="1:12" s="37" customFormat="1" x14ac:dyDescent="0.3">
      <c r="A309" s="39"/>
      <c r="B309" s="32"/>
      <c r="C309" s="32"/>
      <c r="D309" s="32"/>
      <c r="E309" s="5" t="s">
        <v>156</v>
      </c>
      <c r="F309" s="29"/>
      <c r="G309" s="29"/>
      <c r="H309" s="29"/>
      <c r="I309" s="29"/>
      <c r="J309" s="29"/>
      <c r="K309" s="29"/>
      <c r="L309" s="29"/>
    </row>
    <row r="310" spans="1:12" ht="18" thickBot="1" x14ac:dyDescent="0.35">
      <c r="A310" s="40">
        <v>3112</v>
      </c>
      <c r="B310" s="32" t="s">
        <v>16</v>
      </c>
      <c r="C310" s="32">
        <v>1</v>
      </c>
      <c r="D310" s="32">
        <v>2</v>
      </c>
      <c r="E310" s="6" t="s">
        <v>365</v>
      </c>
      <c r="F310" s="29"/>
      <c r="G310" s="29">
        <f>+'4.Gorcarakan ev tntesagitakan'!I777</f>
        <v>925983</v>
      </c>
      <c r="H310" s="29">
        <f>+'4.Gorcarakan ev tntesagitakan'!J777</f>
        <v>925983</v>
      </c>
      <c r="I310" s="29">
        <f>+'4.Gorcarakan ev tntesagitakan'!K777</f>
        <v>345364</v>
      </c>
      <c r="J310" s="29">
        <f>+'4.Gorcarakan ev tntesagitakan'!L777</f>
        <v>532603</v>
      </c>
      <c r="K310" s="29">
        <f>+'4.Gorcarakan ev tntesagitakan'!M777</f>
        <v>726707</v>
      </c>
      <c r="L310" s="29">
        <f>+'4.Gorcarakan ev tntesagitakan'!N777</f>
        <v>925983</v>
      </c>
    </row>
    <row r="311" spans="1:12" x14ac:dyDescent="0.3">
      <c r="B311" s="42"/>
      <c r="C311" s="43"/>
      <c r="D311" s="44"/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3">
    <mergeCell ref="I4:L4"/>
    <mergeCell ref="I2:L2"/>
    <mergeCell ref="I3:L3"/>
    <mergeCell ref="A7:L7"/>
    <mergeCell ref="J6:L6"/>
    <mergeCell ref="A6:I6"/>
    <mergeCell ref="I9:L9"/>
    <mergeCell ref="A9:A10"/>
    <mergeCell ref="B9:B10"/>
    <mergeCell ref="C9:C10"/>
    <mergeCell ref="D9:D10"/>
    <mergeCell ref="E9:E10"/>
    <mergeCell ref="G9:H9"/>
  </mergeCells>
  <pageMargins left="0.39370078740157483" right="0.19685039370078741" top="0.23622047244094491" bottom="0.23622047244094491" header="0" footer="0"/>
  <pageSetup paperSize="9" scale="85" firstPageNumber="84" orientation="portrait" useFirstPageNumber="1" r:id="rId1"/>
  <headerFooter scaleWithDoc="0" alignWithMargins="0"/>
  <rowBreaks count="1" manualBreakCount="1">
    <brk id="2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2"/>
  <sheetViews>
    <sheetView view="pageBreakPreview" zoomScale="90" zoomScaleNormal="100" zoomScaleSheetLayoutView="90" workbookViewId="0">
      <selection activeCell="G4" sqref="G4:J4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2" bestFit="1" customWidth="1"/>
    <col min="4" max="4" width="16.140625" style="2" customWidth="1"/>
    <col min="5" max="10" width="13.42578125" style="2" customWidth="1"/>
    <col min="11" max="11" width="12.85546875" style="2" customWidth="1"/>
    <col min="12" max="12" width="11" style="2" customWidth="1"/>
    <col min="13" max="13" width="9.7109375" style="2" customWidth="1"/>
    <col min="14" max="14" width="8.7109375" style="2" customWidth="1"/>
    <col min="15" max="15" width="9" style="2" customWidth="1"/>
    <col min="16" max="17" width="9.7109375" style="2" customWidth="1"/>
    <col min="18" max="16384" width="9.140625" style="2"/>
  </cols>
  <sheetData>
    <row r="1" spans="1:17" s="90" customFormat="1" ht="27" customHeight="1" x14ac:dyDescent="0.25">
      <c r="A1" s="92"/>
      <c r="C1" s="92"/>
      <c r="E1" s="92"/>
      <c r="F1" s="92"/>
      <c r="H1" s="92"/>
      <c r="I1" s="92"/>
      <c r="J1" s="92" t="s">
        <v>864</v>
      </c>
    </row>
    <row r="2" spans="1:17" s="90" customFormat="1" x14ac:dyDescent="0.25">
      <c r="A2" s="92"/>
      <c r="C2" s="92"/>
      <c r="E2" s="92"/>
      <c r="F2" s="92"/>
      <c r="G2" s="239" t="s">
        <v>601</v>
      </c>
      <c r="H2" s="239"/>
      <c r="I2" s="239"/>
      <c r="J2" s="239"/>
    </row>
    <row r="3" spans="1:17" s="90" customFormat="1" x14ac:dyDescent="0.25">
      <c r="A3" s="92"/>
      <c r="C3" s="92"/>
      <c r="E3" s="92"/>
      <c r="F3" s="92"/>
      <c r="G3" s="239" t="s">
        <v>863</v>
      </c>
      <c r="H3" s="239"/>
      <c r="I3" s="239"/>
      <c r="J3" s="239"/>
    </row>
    <row r="4" spans="1:17" s="90" customFormat="1" x14ac:dyDescent="0.25">
      <c r="A4" s="92"/>
      <c r="C4" s="92"/>
      <c r="E4" s="92"/>
      <c r="F4" s="92"/>
      <c r="G4" s="239" t="s">
        <v>865</v>
      </c>
      <c r="H4" s="239"/>
      <c r="I4" s="239"/>
      <c r="J4" s="239"/>
    </row>
    <row r="5" spans="1:17" s="19" customFormat="1" ht="12.75" customHeight="1" x14ac:dyDescent="0.25">
      <c r="A5" s="17"/>
      <c r="B5" s="18"/>
      <c r="C5" s="17"/>
      <c r="E5" s="17"/>
      <c r="F5" s="17"/>
      <c r="L5" s="201"/>
    </row>
    <row r="6" spans="1:17" ht="17.25" x14ac:dyDescent="0.3">
      <c r="A6" s="253" t="s">
        <v>604</v>
      </c>
      <c r="B6" s="253"/>
      <c r="C6" s="253"/>
      <c r="D6" s="253"/>
      <c r="E6" s="253"/>
      <c r="F6" s="253"/>
      <c r="G6" s="253"/>
      <c r="H6" s="19"/>
      <c r="I6" s="19"/>
      <c r="J6" s="19"/>
      <c r="K6" s="19"/>
      <c r="L6" s="201"/>
    </row>
    <row r="7" spans="1:17" ht="32.25" customHeight="1" x14ac:dyDescent="0.25">
      <c r="A7" s="252" t="s">
        <v>140</v>
      </c>
      <c r="B7" s="252"/>
      <c r="C7" s="252"/>
      <c r="D7" s="252"/>
      <c r="E7" s="252"/>
      <c r="F7" s="252"/>
      <c r="G7" s="252"/>
      <c r="H7" s="252"/>
      <c r="I7" s="252"/>
      <c r="J7" s="252"/>
      <c r="K7" s="202"/>
      <c r="L7" s="19"/>
    </row>
    <row r="8" spans="1:17" ht="17.25" x14ac:dyDescent="0.25">
      <c r="A8" s="202"/>
      <c r="B8" s="202"/>
      <c r="C8" s="202"/>
      <c r="D8" s="203"/>
      <c r="E8" s="203"/>
      <c r="F8" s="203"/>
      <c r="G8" s="203"/>
      <c r="H8" s="203"/>
      <c r="I8" s="203"/>
      <c r="J8" s="203"/>
      <c r="K8" s="203"/>
      <c r="L8" s="19"/>
      <c r="O8" s="151"/>
    </row>
    <row r="9" spans="1:17" ht="16.5" customHeight="1" x14ac:dyDescent="0.3">
      <c r="A9" s="204"/>
      <c r="B9" s="49"/>
      <c r="C9" s="49"/>
      <c r="D9" s="204"/>
      <c r="E9" s="254" t="s">
        <v>18</v>
      </c>
      <c r="F9" s="254"/>
      <c r="L9" s="19"/>
      <c r="M9" s="151"/>
      <c r="N9" s="151"/>
      <c r="O9" s="151"/>
      <c r="P9" s="151"/>
    </row>
    <row r="10" spans="1:17" ht="17.25" customHeight="1" x14ac:dyDescent="0.25">
      <c r="A10" s="255" t="s">
        <v>372</v>
      </c>
      <c r="B10" s="249" t="s">
        <v>373</v>
      </c>
      <c r="C10" s="249"/>
      <c r="D10" s="249" t="s">
        <v>369</v>
      </c>
      <c r="E10" s="249" t="s">
        <v>154</v>
      </c>
      <c r="F10" s="249"/>
      <c r="G10" s="244" t="s">
        <v>368</v>
      </c>
      <c r="H10" s="245"/>
      <c r="I10" s="245"/>
      <c r="J10" s="246"/>
      <c r="K10" s="136"/>
      <c r="L10" s="19"/>
    </row>
    <row r="11" spans="1:17" ht="27" x14ac:dyDescent="0.25">
      <c r="A11" s="255"/>
      <c r="B11" s="249"/>
      <c r="C11" s="249"/>
      <c r="D11" s="249"/>
      <c r="E11" s="198" t="s">
        <v>370</v>
      </c>
      <c r="F11" s="198" t="s">
        <v>371</v>
      </c>
      <c r="G11" s="199" t="s">
        <v>187</v>
      </c>
      <c r="H11" s="199" t="s">
        <v>188</v>
      </c>
      <c r="I11" s="199" t="s">
        <v>189</v>
      </c>
      <c r="J11" s="199" t="s">
        <v>190</v>
      </c>
      <c r="K11" s="17"/>
      <c r="L11" s="19"/>
    </row>
    <row r="12" spans="1:17" x14ac:dyDescent="0.25">
      <c r="A12" s="50">
        <v>1</v>
      </c>
      <c r="B12" s="51">
        <v>2</v>
      </c>
      <c r="C12" s="50" t="s">
        <v>6</v>
      </c>
      <c r="D12" s="199">
        <v>4</v>
      </c>
      <c r="E12" s="199">
        <v>5</v>
      </c>
      <c r="F12" s="198">
        <v>6</v>
      </c>
      <c r="G12" s="197">
        <v>7</v>
      </c>
      <c r="H12" s="198">
        <v>8</v>
      </c>
      <c r="I12" s="198">
        <v>9</v>
      </c>
      <c r="J12" s="198">
        <v>10</v>
      </c>
      <c r="K12" s="136"/>
      <c r="L12" s="19"/>
    </row>
    <row r="13" spans="1:17" ht="33" x14ac:dyDescent="0.25">
      <c r="A13" s="51">
        <v>4000</v>
      </c>
      <c r="B13" s="69" t="s">
        <v>374</v>
      </c>
      <c r="C13" s="52"/>
      <c r="D13" s="21">
        <f>SUM(D15,D174,D209)</f>
        <v>9193112.1372999996</v>
      </c>
      <c r="E13" s="21">
        <f t="shared" ref="E13" si="0">SUM(E15,E174,E209)</f>
        <v>6767596.0294999992</v>
      </c>
      <c r="F13" s="21">
        <f>SUM(F174,F209)</f>
        <v>3351499.1077999994</v>
      </c>
      <c r="G13" s="21">
        <f t="shared" ref="G13:J13" si="1">SUM(G15,G174,G209)</f>
        <v>4280618.3073637122</v>
      </c>
      <c r="H13" s="21">
        <f t="shared" si="1"/>
        <v>5968284.8972434709</v>
      </c>
      <c r="I13" s="21">
        <f t="shared" si="1"/>
        <v>7657317.9902754072</v>
      </c>
      <c r="J13" s="21">
        <f t="shared" si="1"/>
        <v>9193112.1372999996</v>
      </c>
      <c r="K13" s="33"/>
      <c r="L13" s="33"/>
      <c r="M13" s="33"/>
      <c r="N13" s="33"/>
      <c r="O13" s="33"/>
      <c r="P13" s="33"/>
      <c r="Q13" s="33"/>
    </row>
    <row r="14" spans="1:17" x14ac:dyDescent="0.25">
      <c r="A14" s="51"/>
      <c r="B14" s="11" t="s">
        <v>375</v>
      </c>
      <c r="C14" s="52"/>
      <c r="D14" s="21"/>
      <c r="E14" s="21"/>
      <c r="F14" s="21"/>
      <c r="G14" s="21"/>
      <c r="H14" s="21"/>
      <c r="I14" s="21"/>
      <c r="J14" s="21"/>
      <c r="K14" s="33"/>
      <c r="L14" s="19"/>
      <c r="M14" s="151"/>
    </row>
    <row r="15" spans="1:17" ht="63.75" customHeight="1" x14ac:dyDescent="0.25">
      <c r="A15" s="51">
        <v>4050</v>
      </c>
      <c r="B15" s="8" t="s">
        <v>537</v>
      </c>
      <c r="C15" s="53" t="s">
        <v>19</v>
      </c>
      <c r="D15" s="21">
        <f>+D17+D30+D73+D88+D98+D130+D145</f>
        <v>5841613.0294999992</v>
      </c>
      <c r="E15" s="21">
        <f t="shared" ref="E15" si="2">+E17+E30+E73+E88+E98+E130+E145</f>
        <v>6767596.0294999992</v>
      </c>
      <c r="F15" s="21">
        <f>SUM(F17,F30,F73,F88,F98,F130,F145,)</f>
        <v>925983</v>
      </c>
      <c r="G15" s="21">
        <f t="shared" ref="G15:J15" si="3">+G17+G30+G73+G88+G98+G130+G145</f>
        <v>1509738.199563713</v>
      </c>
      <c r="H15" s="21">
        <f t="shared" si="3"/>
        <v>3010165.7894434705</v>
      </c>
      <c r="I15" s="21">
        <f t="shared" si="3"/>
        <v>4505094.8824754069</v>
      </c>
      <c r="J15" s="21">
        <f t="shared" si="3"/>
        <v>5841613.0294999992</v>
      </c>
      <c r="K15" s="33"/>
      <c r="L15" s="19"/>
      <c r="M15" s="151"/>
      <c r="O15" s="151"/>
    </row>
    <row r="16" spans="1:17" x14ac:dyDescent="0.25">
      <c r="A16" s="51"/>
      <c r="B16" s="11" t="s">
        <v>375</v>
      </c>
      <c r="C16" s="52"/>
      <c r="D16" s="21"/>
      <c r="E16" s="21"/>
      <c r="F16" s="21"/>
      <c r="G16" s="21"/>
      <c r="H16" s="21"/>
      <c r="I16" s="21"/>
      <c r="J16" s="21"/>
      <c r="K16" s="33"/>
      <c r="L16" s="19"/>
      <c r="M16" s="151"/>
    </row>
    <row r="17" spans="1:13" ht="37.5" customHeight="1" x14ac:dyDescent="0.25">
      <c r="A17" s="51">
        <v>4100</v>
      </c>
      <c r="B17" s="7" t="s">
        <v>376</v>
      </c>
      <c r="C17" s="54" t="s">
        <v>19</v>
      </c>
      <c r="D17" s="21">
        <f>SUM(D19,D24,D27)</f>
        <v>1628904.1295</v>
      </c>
      <c r="E17" s="21">
        <f>SUM(E19,E24,E27)</f>
        <v>1628904.1295</v>
      </c>
      <c r="F17" s="21" t="s">
        <v>0</v>
      </c>
      <c r="G17" s="21">
        <f t="shared" ref="G17:J17" si="4">SUM(G19,G24,G27)</f>
        <v>477481.30109354632</v>
      </c>
      <c r="H17" s="21">
        <f t="shared" si="4"/>
        <v>981833.65926033631</v>
      </c>
      <c r="I17" s="21">
        <f t="shared" si="4"/>
        <v>1266698.94531271</v>
      </c>
      <c r="J17" s="21">
        <f t="shared" si="4"/>
        <v>1628904.1295</v>
      </c>
      <c r="K17" s="33"/>
      <c r="L17" s="19"/>
      <c r="M17" s="151"/>
    </row>
    <row r="18" spans="1:13" x14ac:dyDescent="0.25">
      <c r="A18" s="51"/>
      <c r="B18" s="11" t="s">
        <v>375</v>
      </c>
      <c r="C18" s="52"/>
      <c r="D18" s="21"/>
      <c r="E18" s="21"/>
      <c r="F18" s="21"/>
      <c r="G18" s="21"/>
      <c r="H18" s="21"/>
      <c r="I18" s="21"/>
      <c r="J18" s="21"/>
      <c r="K18" s="33"/>
      <c r="L18" s="19"/>
      <c r="M18" s="151"/>
    </row>
    <row r="19" spans="1:13" ht="27" x14ac:dyDescent="0.25">
      <c r="A19" s="51">
        <v>4110</v>
      </c>
      <c r="B19" s="11" t="s">
        <v>377</v>
      </c>
      <c r="C19" s="54" t="s">
        <v>19</v>
      </c>
      <c r="D19" s="21">
        <f>SUM(D21:D23)</f>
        <v>1628904.1295</v>
      </c>
      <c r="E19" s="21">
        <f>SUM(E21:E23)</f>
        <v>1628904.1295</v>
      </c>
      <c r="F19" s="21" t="s">
        <v>1</v>
      </c>
      <c r="G19" s="21">
        <f t="shared" ref="G19:J19" si="5">SUM(G21:G23)</f>
        <v>477481.30109354632</v>
      </c>
      <c r="H19" s="21">
        <f t="shared" si="5"/>
        <v>981833.65926033631</v>
      </c>
      <c r="I19" s="21">
        <f t="shared" si="5"/>
        <v>1266698.94531271</v>
      </c>
      <c r="J19" s="21">
        <f t="shared" si="5"/>
        <v>1628904.1295</v>
      </c>
      <c r="K19" s="33"/>
      <c r="L19" s="19"/>
      <c r="M19" s="151"/>
    </row>
    <row r="20" spans="1:13" x14ac:dyDescent="0.25">
      <c r="A20" s="51"/>
      <c r="B20" s="11" t="s">
        <v>156</v>
      </c>
      <c r="C20" s="54"/>
      <c r="D20" s="21"/>
      <c r="E20" s="21"/>
      <c r="F20" s="21"/>
      <c r="G20" s="21"/>
      <c r="H20" s="21"/>
      <c r="I20" s="21"/>
      <c r="J20" s="21"/>
      <c r="K20" s="33"/>
      <c r="L20" s="19"/>
      <c r="M20" s="151"/>
    </row>
    <row r="21" spans="1:13" x14ac:dyDescent="0.25">
      <c r="A21" s="51">
        <v>4111</v>
      </c>
      <c r="B21" s="9" t="s">
        <v>378</v>
      </c>
      <c r="C21" s="54" t="s">
        <v>20</v>
      </c>
      <c r="D21" s="21">
        <f>+'4.Gorcarakan ev tntesagitakan'!H17+'4.Gorcarakan ev tntesagitakan'!H76+'4.Gorcarakan ev tntesagitakan'!H356+'4.Gorcarakan ev tntesagitakan'!H396+'4.Gorcarakan ev tntesagitakan'!H447+'4.Gorcarakan ev tntesagitakan'!H759</f>
        <v>1583904.1295</v>
      </c>
      <c r="E21" s="21">
        <f>+'4.Gorcarakan ev tntesagitakan'!I17+'4.Gorcarakan ev tntesagitakan'!I76+'4.Gorcarakan ev tntesagitakan'!I356+'4.Gorcarakan ev tntesagitakan'!I396+'4.Gorcarakan ev tntesagitakan'!I447+'4.Gorcarakan ev tntesagitakan'!I759</f>
        <v>1583904.1295</v>
      </c>
      <c r="F21" s="21" t="s">
        <v>1</v>
      </c>
      <c r="G21" s="21">
        <f>+'4.Gorcarakan ev tntesagitakan'!K17+'4.Gorcarakan ev tntesagitakan'!K76+'4.Gorcarakan ev tntesagitakan'!K356+'4.Gorcarakan ev tntesagitakan'!K396+'4.Gorcarakan ev tntesagitakan'!K447+'4.Gorcarakan ev tntesagitakan'!K759</f>
        <v>466767.01537926059</v>
      </c>
      <c r="H21" s="21">
        <f>+'4.Gorcarakan ev tntesagitakan'!L17+'4.Gorcarakan ev tntesagitakan'!L76+'4.Gorcarakan ev tntesagitakan'!L356+'4.Gorcarakan ev tntesagitakan'!L396+'4.Gorcarakan ev tntesagitakan'!L447+'4.Gorcarakan ev tntesagitakan'!L759</f>
        <v>960226.51640319347</v>
      </c>
      <c r="I21" s="21">
        <f>+'4.Gorcarakan ev tntesagitakan'!M17+'4.Gorcarakan ev tntesagitakan'!M76+'4.Gorcarakan ev tntesagitakan'!M356+'4.Gorcarakan ev tntesagitakan'!M396+'4.Gorcarakan ev tntesagitakan'!M447+'4.Gorcarakan ev tntesagitakan'!M759</f>
        <v>1233306.088169853</v>
      </c>
      <c r="J21" s="21">
        <f>+'4.Gorcarakan ev tntesagitakan'!N17+'4.Gorcarakan ev tntesagitakan'!N76+'4.Gorcarakan ev tntesagitakan'!N356+'4.Gorcarakan ev tntesagitakan'!N396+'4.Gorcarakan ev tntesagitakan'!N447+'4.Gorcarakan ev tntesagitakan'!N759</f>
        <v>1583904.1295</v>
      </c>
      <c r="K21" s="33"/>
      <c r="L21" s="19"/>
      <c r="M21" s="151"/>
    </row>
    <row r="22" spans="1:13" ht="27" x14ac:dyDescent="0.25">
      <c r="A22" s="51">
        <v>4112</v>
      </c>
      <c r="B22" s="9" t="s">
        <v>379</v>
      </c>
      <c r="C22" s="54" t="s">
        <v>21</v>
      </c>
      <c r="D22" s="21">
        <f>+'4.Gorcarakan ev tntesagitakan'!H18</f>
        <v>45000</v>
      </c>
      <c r="E22" s="21">
        <f>+'4.Gorcarakan ev tntesagitakan'!I18</f>
        <v>45000</v>
      </c>
      <c r="F22" s="21" t="s">
        <v>1</v>
      </c>
      <c r="G22" s="21">
        <f>+'4.Gorcarakan ev tntesagitakan'!K18</f>
        <v>10714.285714285716</v>
      </c>
      <c r="H22" s="21">
        <f>+'4.Gorcarakan ev tntesagitakan'!L18</f>
        <v>21607.142857142859</v>
      </c>
      <c r="I22" s="21">
        <f>+'4.Gorcarakan ev tntesagitakan'!M18</f>
        <v>33392.857142857145</v>
      </c>
      <c r="J22" s="21">
        <f>+'4.Gorcarakan ev tntesagitakan'!N18</f>
        <v>45000</v>
      </c>
      <c r="K22" s="33"/>
      <c r="L22" s="19"/>
      <c r="M22" s="151"/>
    </row>
    <row r="23" spans="1:13" x14ac:dyDescent="0.25">
      <c r="A23" s="51">
        <v>4114</v>
      </c>
      <c r="B23" s="9" t="s">
        <v>380</v>
      </c>
      <c r="C23" s="54" t="s">
        <v>22</v>
      </c>
      <c r="D23" s="21"/>
      <c r="E23" s="21"/>
      <c r="F23" s="21" t="s">
        <v>1</v>
      </c>
      <c r="G23" s="21"/>
      <c r="H23" s="21"/>
      <c r="I23" s="21"/>
      <c r="J23" s="21"/>
      <c r="K23" s="33"/>
      <c r="L23" s="19"/>
      <c r="M23" s="151"/>
    </row>
    <row r="24" spans="1:13" ht="27" x14ac:dyDescent="0.25">
      <c r="A24" s="51">
        <v>4120</v>
      </c>
      <c r="B24" s="9" t="s">
        <v>381</v>
      </c>
      <c r="C24" s="54" t="s">
        <v>19</v>
      </c>
      <c r="D24" s="21">
        <f>SUM(D26)</f>
        <v>0</v>
      </c>
      <c r="E24" s="21">
        <f>SUM(E26)</f>
        <v>0</v>
      </c>
      <c r="F24" s="21" t="s">
        <v>1</v>
      </c>
      <c r="G24" s="21">
        <f>SUM(G26)</f>
        <v>0</v>
      </c>
      <c r="H24" s="21">
        <f>SUM(H26)</f>
        <v>0</v>
      </c>
      <c r="I24" s="21">
        <f>SUM(I26)</f>
        <v>0</v>
      </c>
      <c r="J24" s="21">
        <f>SUM(J26)</f>
        <v>0</v>
      </c>
      <c r="K24" s="33"/>
      <c r="L24" s="19"/>
      <c r="M24" s="151"/>
    </row>
    <row r="25" spans="1:13" x14ac:dyDescent="0.25">
      <c r="A25" s="51"/>
      <c r="B25" s="11" t="s">
        <v>156</v>
      </c>
      <c r="C25" s="54"/>
      <c r="D25" s="21"/>
      <c r="E25" s="21"/>
      <c r="F25" s="21"/>
      <c r="G25" s="21"/>
      <c r="H25" s="21"/>
      <c r="I25" s="21"/>
      <c r="J25" s="21"/>
      <c r="K25" s="33"/>
      <c r="L25" s="19"/>
      <c r="M25" s="151"/>
    </row>
    <row r="26" spans="1:13" x14ac:dyDescent="0.25">
      <c r="A26" s="51">
        <v>4121</v>
      </c>
      <c r="B26" s="9" t="s">
        <v>382</v>
      </c>
      <c r="C26" s="54" t="s">
        <v>23</v>
      </c>
      <c r="D26" s="21">
        <f>SUM(E26:F26)</f>
        <v>0</v>
      </c>
      <c r="E26" s="21"/>
      <c r="F26" s="21" t="s">
        <v>1</v>
      </c>
      <c r="G26" s="21">
        <f>SUM(H26:I26)</f>
        <v>0</v>
      </c>
      <c r="H26" s="21">
        <f>SUM(I26:J26)</f>
        <v>0</v>
      </c>
      <c r="I26" s="21">
        <f>SUM(J26:L26)</f>
        <v>0</v>
      </c>
      <c r="J26" s="21">
        <f>SUM(L26:L26)</f>
        <v>0</v>
      </c>
      <c r="K26" s="33"/>
      <c r="L26" s="19"/>
      <c r="M26" s="151"/>
    </row>
    <row r="27" spans="1:13" ht="27" x14ac:dyDescent="0.25">
      <c r="A27" s="51">
        <v>4130</v>
      </c>
      <c r="B27" s="9" t="s">
        <v>383</v>
      </c>
      <c r="C27" s="54" t="s">
        <v>19</v>
      </c>
      <c r="D27" s="21">
        <f>SUM(D29)</f>
        <v>0</v>
      </c>
      <c r="E27" s="21">
        <f>SUM(E29)</f>
        <v>0</v>
      </c>
      <c r="F27" s="21" t="s">
        <v>0</v>
      </c>
      <c r="G27" s="21">
        <f>SUM(G29)</f>
        <v>0</v>
      </c>
      <c r="H27" s="21">
        <f>SUM(H29)</f>
        <v>0</v>
      </c>
      <c r="I27" s="21">
        <f>SUM(I29)</f>
        <v>0</v>
      </c>
      <c r="J27" s="21">
        <f>SUM(J29)</f>
        <v>0</v>
      </c>
      <c r="K27" s="33"/>
      <c r="L27" s="19"/>
      <c r="M27" s="151"/>
    </row>
    <row r="28" spans="1:13" x14ac:dyDescent="0.25">
      <c r="A28" s="51"/>
      <c r="B28" s="11" t="s">
        <v>156</v>
      </c>
      <c r="C28" s="54"/>
      <c r="D28" s="21"/>
      <c r="E28" s="21"/>
      <c r="F28" s="21"/>
      <c r="G28" s="21"/>
      <c r="H28" s="21"/>
      <c r="I28" s="21"/>
      <c r="J28" s="21"/>
      <c r="K28" s="33"/>
      <c r="L28" s="19"/>
      <c r="M28" s="151"/>
    </row>
    <row r="29" spans="1:13" x14ac:dyDescent="0.25">
      <c r="A29" s="51">
        <v>4131</v>
      </c>
      <c r="B29" s="9" t="s">
        <v>384</v>
      </c>
      <c r="C29" s="54" t="s">
        <v>24</v>
      </c>
      <c r="D29" s="21">
        <f>SUM(E29:F29)</f>
        <v>0</v>
      </c>
      <c r="E29" s="21"/>
      <c r="F29" s="21" t="s">
        <v>0</v>
      </c>
      <c r="G29" s="21">
        <f>SUM(H29:I29)</f>
        <v>0</v>
      </c>
      <c r="H29" s="21">
        <f>SUM(I29:J29)</f>
        <v>0</v>
      </c>
      <c r="I29" s="21">
        <f>SUM(J29:L29)</f>
        <v>0</v>
      </c>
      <c r="J29" s="21">
        <f>SUM(L29:L29)</f>
        <v>0</v>
      </c>
      <c r="K29" s="33"/>
      <c r="L29" s="19"/>
      <c r="M29" s="151"/>
    </row>
    <row r="30" spans="1:13" ht="54" x14ac:dyDescent="0.25">
      <c r="A30" s="51">
        <v>4200</v>
      </c>
      <c r="B30" s="9" t="s">
        <v>385</v>
      </c>
      <c r="C30" s="54" t="s">
        <v>19</v>
      </c>
      <c r="D30" s="21">
        <f>SUM(D32,D41,D46,D56,D59,D63)</f>
        <v>1167961.9810000001</v>
      </c>
      <c r="E30" s="21">
        <f>SUM(E32,E41,E46,E56,E59,E63)</f>
        <v>1167961.9810000001</v>
      </c>
      <c r="F30" s="21" t="s">
        <v>0</v>
      </c>
      <c r="G30" s="21">
        <f>SUM(G32,G41,G46,G56,G59,G63)</f>
        <v>338119.4244225485</v>
      </c>
      <c r="H30" s="21">
        <f>SUM(H32,H41,H46,H56,H59,H63)</f>
        <v>633969.47152043751</v>
      </c>
      <c r="I30" s="21">
        <f>SUM(I32,I41,I46,I56,I59,I63)</f>
        <v>1014598.810888889</v>
      </c>
      <c r="J30" s="21">
        <f>SUM(J32,J41,J46,J56,J59,J63)</f>
        <v>1167961.9810000001</v>
      </c>
      <c r="K30" s="33"/>
      <c r="L30" s="19"/>
      <c r="M30" s="151"/>
    </row>
    <row r="31" spans="1:13" x14ac:dyDescent="0.25">
      <c r="A31" s="51"/>
      <c r="B31" s="11" t="s">
        <v>375</v>
      </c>
      <c r="C31" s="52"/>
      <c r="D31" s="21"/>
      <c r="E31" s="21"/>
      <c r="F31" s="21"/>
      <c r="G31" s="21"/>
      <c r="H31" s="21"/>
      <c r="I31" s="21"/>
      <c r="J31" s="21"/>
      <c r="K31" s="33"/>
      <c r="L31" s="19"/>
      <c r="M31" s="151"/>
    </row>
    <row r="32" spans="1:13" ht="40.5" x14ac:dyDescent="0.25">
      <c r="A32" s="51">
        <v>4210</v>
      </c>
      <c r="B32" s="9" t="s">
        <v>386</v>
      </c>
      <c r="C32" s="54" t="s">
        <v>19</v>
      </c>
      <c r="D32" s="21">
        <f>SUM(D34:D40)</f>
        <v>328608.55599999998</v>
      </c>
      <c r="E32" s="21">
        <f>SUM(E34:E40)</f>
        <v>328608.55599999998</v>
      </c>
      <c r="F32" s="21" t="s">
        <v>19</v>
      </c>
      <c r="G32" s="21">
        <f>SUM(G34:G40)</f>
        <v>122110.764898739</v>
      </c>
      <c r="H32" s="21">
        <f>SUM(H34:H40)</f>
        <v>221766.80991329436</v>
      </c>
      <c r="I32" s="21">
        <f>SUM(I34:I40)</f>
        <v>278579.33825396851</v>
      </c>
      <c r="J32" s="21">
        <f>SUM(J34:J40)</f>
        <v>328608.55599999998</v>
      </c>
      <c r="K32" s="33"/>
      <c r="L32" s="19"/>
      <c r="M32" s="151"/>
    </row>
    <row r="33" spans="1:13" x14ac:dyDescent="0.25">
      <c r="A33" s="51"/>
      <c r="B33" s="11" t="s">
        <v>156</v>
      </c>
      <c r="C33" s="54"/>
      <c r="D33" s="21"/>
      <c r="E33" s="21"/>
      <c r="F33" s="21"/>
      <c r="G33" s="21"/>
      <c r="H33" s="21"/>
      <c r="I33" s="21"/>
      <c r="J33" s="21"/>
      <c r="K33" s="33"/>
      <c r="L33" s="19"/>
      <c r="M33" s="151"/>
    </row>
    <row r="34" spans="1:13" x14ac:dyDescent="0.25">
      <c r="A34" s="51">
        <v>4211</v>
      </c>
      <c r="B34" s="9" t="s">
        <v>387</v>
      </c>
      <c r="C34" s="54" t="s">
        <v>25</v>
      </c>
      <c r="D34" s="21"/>
      <c r="E34" s="21"/>
      <c r="F34" s="21" t="s">
        <v>1</v>
      </c>
      <c r="G34" s="21"/>
      <c r="H34" s="21"/>
      <c r="I34" s="21"/>
      <c r="J34" s="21"/>
      <c r="K34" s="33"/>
      <c r="L34" s="19"/>
      <c r="M34" s="151"/>
    </row>
    <row r="35" spans="1:13" x14ac:dyDescent="0.25">
      <c r="A35" s="51">
        <v>4212</v>
      </c>
      <c r="B35" s="9" t="s">
        <v>388</v>
      </c>
      <c r="C35" s="54" t="s">
        <v>26</v>
      </c>
      <c r="D35" s="21">
        <f>+'4.Gorcarakan ev tntesagitakan'!H19+'4.Gorcarakan ev tntesagitakan'!H77+'4.Gorcarakan ev tntesagitakan'!H431+'4.Gorcarakan ev tntesagitakan'!H760</f>
        <v>245557.40299999999</v>
      </c>
      <c r="E35" s="21">
        <f>+'4.Gorcarakan ev tntesagitakan'!I19+'4.Gorcarakan ev tntesagitakan'!I77+'4.Gorcarakan ev tntesagitakan'!I431+'4.Gorcarakan ev tntesagitakan'!I760</f>
        <v>245557.40299999999</v>
      </c>
      <c r="F35" s="21" t="s">
        <v>1</v>
      </c>
      <c r="G35" s="21">
        <f>+'4.Gorcarakan ev tntesagitakan'!K19+'4.Gorcarakan ev tntesagitakan'!K77+'4.Gorcarakan ev tntesagitakan'!K431+'4.Gorcarakan ev tntesagitakan'!K760</f>
        <v>90931.242136834233</v>
      </c>
      <c r="H35" s="21">
        <f>+'4.Gorcarakan ev tntesagitakan'!L19+'4.Gorcarakan ev tntesagitakan'!L77+'4.Gorcarakan ev tntesagitakan'!L431+'4.Gorcarakan ev tntesagitakan'!L760</f>
        <v>169893.67313154836</v>
      </c>
      <c r="I35" s="21">
        <f>+'4.Gorcarakan ev tntesagitakan'!M19+'4.Gorcarakan ev tntesagitakan'!M77+'4.Gorcarakan ev tntesagitakan'!M431+'4.Gorcarakan ev tntesagitakan'!M760</f>
        <v>208432.76616269874</v>
      </c>
      <c r="J35" s="21">
        <f>+'4.Gorcarakan ev tntesagitakan'!N19+'4.Gorcarakan ev tntesagitakan'!N77+'4.Gorcarakan ev tntesagitakan'!N431+'4.Gorcarakan ev tntesagitakan'!N760</f>
        <v>245557.40299999999</v>
      </c>
      <c r="K35" s="33"/>
      <c r="L35" s="19"/>
      <c r="M35" s="151"/>
    </row>
    <row r="36" spans="1:13" x14ac:dyDescent="0.25">
      <c r="A36" s="51">
        <v>4213</v>
      </c>
      <c r="B36" s="9" t="s">
        <v>389</v>
      </c>
      <c r="C36" s="54" t="s">
        <v>27</v>
      </c>
      <c r="D36" s="21">
        <f>+'4.Gorcarakan ev tntesagitakan'!H20+'4.Gorcarakan ev tntesagitakan'!H78+'4.Gorcarakan ev tntesagitakan'!H397</f>
        <v>39274.652999999998</v>
      </c>
      <c r="E36" s="21">
        <f>+'4.Gorcarakan ev tntesagitakan'!I20+'4.Gorcarakan ev tntesagitakan'!I78+'4.Gorcarakan ev tntesagitakan'!I397</f>
        <v>39274.652999999998</v>
      </c>
      <c r="F36" s="21" t="s">
        <v>1</v>
      </c>
      <c r="G36" s="21">
        <f>+'4.Gorcarakan ev tntesagitakan'!K20+'4.Gorcarakan ev tntesagitakan'!K78+'4.Gorcarakan ev tntesagitakan'!K397</f>
        <v>13815.260857142857</v>
      </c>
      <c r="H36" s="21">
        <f>+'4.Gorcarakan ev tntesagitakan'!L20+'4.Gorcarakan ev tntesagitakan'!L78+'4.Gorcarakan ev tntesagitakan'!L397</f>
        <v>23322.220511904765</v>
      </c>
      <c r="I36" s="21">
        <f>+'4.Gorcarakan ev tntesagitakan'!M20+'4.Gorcarakan ev tntesagitakan'!M78+'4.Gorcarakan ev tntesagitakan'!M397</f>
        <v>32208.439154761909</v>
      </c>
      <c r="J36" s="21">
        <f>+'4.Gorcarakan ev tntesagitakan'!N20+'4.Gorcarakan ev tntesagitakan'!N78+'4.Gorcarakan ev tntesagitakan'!N397</f>
        <v>39274.652999999998</v>
      </c>
      <c r="K36" s="33"/>
      <c r="L36" s="19"/>
      <c r="M36" s="151"/>
    </row>
    <row r="37" spans="1:13" x14ac:dyDescent="0.25">
      <c r="A37" s="51">
        <v>4214</v>
      </c>
      <c r="B37" s="9" t="s">
        <v>390</v>
      </c>
      <c r="C37" s="54" t="s">
        <v>28</v>
      </c>
      <c r="D37" s="21">
        <f>+'4.Gorcarakan ev tntesagitakan'!H21+'4.Gorcarakan ev tntesagitakan'!H79+'4.Gorcarakan ev tntesagitakan'!H761</f>
        <v>9092.6</v>
      </c>
      <c r="E37" s="21">
        <f>+'4.Gorcarakan ev tntesagitakan'!I21+'4.Gorcarakan ev tntesagitakan'!I79+'4.Gorcarakan ev tntesagitakan'!I761</f>
        <v>9092.6</v>
      </c>
      <c r="F37" s="21" t="s">
        <v>1</v>
      </c>
      <c r="G37" s="21">
        <f>+'4.Gorcarakan ev tntesagitakan'!K21+'4.Gorcarakan ev tntesagitakan'!K79+'4.Gorcarakan ev tntesagitakan'!K761</f>
        <v>3314.0047619047623</v>
      </c>
      <c r="H37" s="21">
        <f>+'4.Gorcarakan ev tntesagitakan'!L21+'4.Gorcarakan ev tntesagitakan'!L79+'4.Gorcarakan ev tntesagitakan'!L761</f>
        <v>5514.99126984127</v>
      </c>
      <c r="I37" s="21">
        <f>+'4.Gorcarakan ev tntesagitakan'!M21+'4.Gorcarakan ev tntesagitakan'!M79+'4.Gorcarakan ev tntesagitakan'!M761</f>
        <v>7896.3865079365078</v>
      </c>
      <c r="J37" s="21">
        <f>+'4.Gorcarakan ev tntesagitakan'!N21+'4.Gorcarakan ev tntesagitakan'!N79+'4.Gorcarakan ev tntesagitakan'!N761</f>
        <v>9092.6</v>
      </c>
      <c r="K37" s="33"/>
      <c r="L37" s="19"/>
      <c r="M37" s="151"/>
    </row>
    <row r="38" spans="1:13" x14ac:dyDescent="0.25">
      <c r="A38" s="51">
        <v>4215</v>
      </c>
      <c r="B38" s="9" t="s">
        <v>391</v>
      </c>
      <c r="C38" s="54" t="s">
        <v>29</v>
      </c>
      <c r="D38" s="21">
        <f>+'4.Gorcarakan ev tntesagitakan'!H22+'4.Gorcarakan ev tntesagitakan'!H360+'4.Gorcarakan ev tntesagitakan'!H448</f>
        <v>21779.5</v>
      </c>
      <c r="E38" s="21">
        <f>+'4.Gorcarakan ev tntesagitakan'!I22+'4.Gorcarakan ev tntesagitakan'!I360+'4.Gorcarakan ev tntesagitakan'!I448</f>
        <v>21779.5</v>
      </c>
      <c r="F38" s="21" t="s">
        <v>1</v>
      </c>
      <c r="G38" s="21">
        <f>+'4.Gorcarakan ev tntesagitakan'!K22+'4.Gorcarakan ev tntesagitakan'!K360+'4.Gorcarakan ev tntesagitakan'!K448</f>
        <v>7829.0952380952385</v>
      </c>
      <c r="H38" s="21">
        <f>+'4.Gorcarakan ev tntesagitakan'!L22+'4.Gorcarakan ev tntesagitakan'!L360+'4.Gorcarakan ev tntesagitakan'!L448</f>
        <v>13101.117063492064</v>
      </c>
      <c r="I38" s="21">
        <f>+'4.Gorcarakan ev tntesagitakan'!M22+'4.Gorcarakan ev tntesagitakan'!M360+'4.Gorcarakan ev tntesagitakan'!M448</f>
        <v>18805.271825396827</v>
      </c>
      <c r="J38" s="21">
        <f>+'4.Gorcarakan ev tntesagitakan'!N22+'4.Gorcarakan ev tntesagitakan'!N360+'4.Gorcarakan ev tntesagitakan'!N448</f>
        <v>21779.5</v>
      </c>
      <c r="K38" s="33"/>
      <c r="L38" s="19"/>
      <c r="M38" s="151"/>
    </row>
    <row r="39" spans="1:13" x14ac:dyDescent="0.25">
      <c r="A39" s="51">
        <v>4216</v>
      </c>
      <c r="B39" s="9" t="s">
        <v>392</v>
      </c>
      <c r="C39" s="54" t="s">
        <v>30</v>
      </c>
      <c r="D39" s="21">
        <f>+'4.Gorcarakan ev tntesagitakan'!H23+'4.Gorcarakan ev tntesagitakan'!H357+'4.Gorcarakan ev tntesagitakan'!H549+'4.Gorcarakan ev tntesagitakan'!H557+'4.Gorcarakan ev tntesagitakan'!H763</f>
        <v>12904.4</v>
      </c>
      <c r="E39" s="21">
        <f>+'4.Gorcarakan ev tntesagitakan'!I23+'4.Gorcarakan ev tntesagitakan'!I357+'4.Gorcarakan ev tntesagitakan'!I549+'4.Gorcarakan ev tntesagitakan'!I557+'4.Gorcarakan ev tntesagitakan'!I763</f>
        <v>12904.4</v>
      </c>
      <c r="F39" s="21" t="s">
        <v>1</v>
      </c>
      <c r="G39" s="21">
        <f>+'4.Gorcarakan ev tntesagitakan'!K23+'4.Gorcarakan ev tntesagitakan'!K357+'4.Gorcarakan ev tntesagitakan'!K549+'4.Gorcarakan ev tntesagitakan'!K557+'4.Gorcarakan ev tntesagitakan'!K763</f>
        <v>6221.1619047619042</v>
      </c>
      <c r="H39" s="21">
        <f>+'4.Gorcarakan ev tntesagitakan'!L23+'4.Gorcarakan ev tntesagitakan'!L357+'4.Gorcarakan ev tntesagitakan'!L549+'4.Gorcarakan ev tntesagitakan'!L557+'4.Gorcarakan ev tntesagitakan'!L763</f>
        <v>9934.8079365078884</v>
      </c>
      <c r="I39" s="21">
        <f>+'4.Gorcarakan ev tntesagitakan'!M23+'4.Gorcarakan ev tntesagitakan'!M357+'4.Gorcarakan ev tntesagitakan'!M549+'4.Gorcarakan ev tntesagitakan'!M557+'4.Gorcarakan ev tntesagitakan'!M763</f>
        <v>11236.474603174556</v>
      </c>
      <c r="J39" s="21">
        <f>+'4.Gorcarakan ev tntesagitakan'!N23+'4.Gorcarakan ev tntesagitakan'!N357+'4.Gorcarakan ev tntesagitakan'!N549+'4.Gorcarakan ev tntesagitakan'!N557+'4.Gorcarakan ev tntesagitakan'!N763</f>
        <v>12904.4</v>
      </c>
      <c r="K39" s="33"/>
      <c r="L39" s="19"/>
      <c r="M39" s="151"/>
    </row>
    <row r="40" spans="1:13" x14ac:dyDescent="0.25">
      <c r="A40" s="51">
        <v>4217</v>
      </c>
      <c r="B40" s="9" t="s">
        <v>393</v>
      </c>
      <c r="C40" s="54" t="s">
        <v>31</v>
      </c>
      <c r="D40" s="21">
        <f>+'4.Gorcarakan ev tntesagitakan'!H24</f>
        <v>0</v>
      </c>
      <c r="E40" s="21">
        <f>+'4.Gorcarakan ev tntesagitakan'!I24</f>
        <v>0</v>
      </c>
      <c r="F40" s="21" t="s">
        <v>1</v>
      </c>
      <c r="G40" s="21">
        <f>+'4.Gorcarakan ev tntesagitakan'!K24</f>
        <v>0</v>
      </c>
      <c r="H40" s="21">
        <f>+'4.Gorcarakan ev tntesagitakan'!L24</f>
        <v>0</v>
      </c>
      <c r="I40" s="21">
        <f>+'4.Gorcarakan ev tntesagitakan'!M24</f>
        <v>0</v>
      </c>
      <c r="J40" s="21">
        <f>+'4.Gorcarakan ev tntesagitakan'!N24</f>
        <v>0</v>
      </c>
      <c r="K40" s="33"/>
      <c r="L40" s="19"/>
      <c r="M40" s="151"/>
    </row>
    <row r="41" spans="1:13" ht="27" x14ac:dyDescent="0.25">
      <c r="A41" s="51">
        <v>4220</v>
      </c>
      <c r="B41" s="9" t="s">
        <v>394</v>
      </c>
      <c r="C41" s="54" t="s">
        <v>19</v>
      </c>
      <c r="D41" s="21">
        <f>SUM(D43:D45)</f>
        <v>50300</v>
      </c>
      <c r="E41" s="21">
        <f>SUM(E43:E45)</f>
        <v>50300</v>
      </c>
      <c r="F41" s="21" t="s">
        <v>1</v>
      </c>
      <c r="G41" s="21">
        <f>SUM(G43:G45)</f>
        <v>11976.190476190479</v>
      </c>
      <c r="H41" s="21">
        <f>SUM(H43:H45)</f>
        <v>24151.984126984127</v>
      </c>
      <c r="I41" s="21">
        <f>SUM(I43:I45)</f>
        <v>37325.793650793654</v>
      </c>
      <c r="J41" s="21">
        <f>SUM(J43:J45)</f>
        <v>50300</v>
      </c>
      <c r="K41" s="33"/>
      <c r="L41" s="19"/>
      <c r="M41" s="151"/>
    </row>
    <row r="42" spans="1:13" x14ac:dyDescent="0.25">
      <c r="A42" s="51"/>
      <c r="B42" s="11" t="s">
        <v>156</v>
      </c>
      <c r="C42" s="54"/>
      <c r="D42" s="21"/>
      <c r="E42" s="21"/>
      <c r="F42" s="21"/>
      <c r="G42" s="21"/>
      <c r="H42" s="21"/>
      <c r="I42" s="21"/>
      <c r="J42" s="21"/>
      <c r="K42" s="33"/>
      <c r="L42" s="19"/>
      <c r="M42" s="151"/>
    </row>
    <row r="43" spans="1:13" x14ac:dyDescent="0.25">
      <c r="A43" s="51">
        <v>4221</v>
      </c>
      <c r="B43" s="9" t="s">
        <v>395</v>
      </c>
      <c r="C43" s="55">
        <v>4221</v>
      </c>
      <c r="D43" s="21">
        <f>+'4.Gorcarakan ev tntesagitakan'!H25+'4.Gorcarakan ev tntesagitakan'!H80+'4.Gorcarakan ev tntesagitakan'!H543+'4.Gorcarakan ev tntesagitakan'!H765</f>
        <v>48300</v>
      </c>
      <c r="E43" s="21">
        <f>+'4.Gorcarakan ev tntesagitakan'!I25+'4.Gorcarakan ev tntesagitakan'!I80+'4.Gorcarakan ev tntesagitakan'!I543+'4.Gorcarakan ev tntesagitakan'!I765</f>
        <v>48300</v>
      </c>
      <c r="F43" s="21" t="s">
        <v>1</v>
      </c>
      <c r="G43" s="21">
        <f>+'4.Gorcarakan ev tntesagitakan'!K25+'4.Gorcarakan ev tntesagitakan'!K80+'4.Gorcarakan ev tntesagitakan'!K543+'4.Gorcarakan ev tntesagitakan'!K765</f>
        <v>11500.000000000002</v>
      </c>
      <c r="H43" s="21">
        <f>+'4.Gorcarakan ev tntesagitakan'!L25+'4.Gorcarakan ev tntesagitakan'!L80+'4.Gorcarakan ev tntesagitakan'!L543+'4.Gorcarakan ev tntesagitakan'!L765</f>
        <v>23191.666666666668</v>
      </c>
      <c r="I43" s="21">
        <f>+'4.Gorcarakan ev tntesagitakan'!M25+'4.Gorcarakan ev tntesagitakan'!M80+'4.Gorcarakan ev tntesagitakan'!M543+'4.Gorcarakan ev tntesagitakan'!M765</f>
        <v>35841.666666666672</v>
      </c>
      <c r="J43" s="21">
        <f>+'4.Gorcarakan ev tntesagitakan'!N25+'4.Gorcarakan ev tntesagitakan'!N80+'4.Gorcarakan ev tntesagitakan'!N543+'4.Gorcarakan ev tntesagitakan'!N765</f>
        <v>48300</v>
      </c>
      <c r="K43" s="33"/>
      <c r="L43" s="19"/>
      <c r="M43" s="151"/>
    </row>
    <row r="44" spans="1:13" x14ac:dyDescent="0.25">
      <c r="A44" s="51">
        <v>4222</v>
      </c>
      <c r="B44" s="9" t="s">
        <v>396</v>
      </c>
      <c r="C44" s="54" t="s">
        <v>32</v>
      </c>
      <c r="D44" s="21">
        <f>+'4.Gorcarakan ev tntesagitakan'!H26+'4.Gorcarakan ev tntesagitakan'!H544</f>
        <v>2000</v>
      </c>
      <c r="E44" s="21">
        <f>+'4.Gorcarakan ev tntesagitakan'!I26+'4.Gorcarakan ev tntesagitakan'!I544</f>
        <v>2000</v>
      </c>
      <c r="F44" s="21" t="s">
        <v>1</v>
      </c>
      <c r="G44" s="21">
        <f>+'4.Gorcarakan ev tntesagitakan'!K26+'4.Gorcarakan ev tntesagitakan'!K544</f>
        <v>476.1904761904762</v>
      </c>
      <c r="H44" s="21">
        <f>+'4.Gorcarakan ev tntesagitakan'!L26+'4.Gorcarakan ev tntesagitakan'!L544</f>
        <v>960.31746031746036</v>
      </c>
      <c r="I44" s="21">
        <f>+'4.Gorcarakan ev tntesagitakan'!M26+'4.Gorcarakan ev tntesagitakan'!M544</f>
        <v>1484.1269841269841</v>
      </c>
      <c r="J44" s="21">
        <f>+'4.Gorcarakan ev tntesagitakan'!N26+'4.Gorcarakan ev tntesagitakan'!N544</f>
        <v>2000</v>
      </c>
      <c r="K44" s="33"/>
      <c r="L44" s="19"/>
      <c r="M44" s="151"/>
    </row>
    <row r="45" spans="1:13" x14ac:dyDescent="0.25">
      <c r="A45" s="51">
        <v>4223</v>
      </c>
      <c r="B45" s="9" t="s">
        <v>397</v>
      </c>
      <c r="C45" s="54" t="s">
        <v>33</v>
      </c>
      <c r="D45" s="21"/>
      <c r="E45" s="21"/>
      <c r="F45" s="21" t="s">
        <v>1</v>
      </c>
      <c r="G45" s="21">
        <f>SUM(H45:I45)</f>
        <v>0</v>
      </c>
      <c r="H45" s="21">
        <f>SUM(I45:J45)</f>
        <v>0</v>
      </c>
      <c r="I45" s="21">
        <f>SUM(J45:L45)</f>
        <v>0</v>
      </c>
      <c r="J45" s="21">
        <f>SUM(L45:L45)</f>
        <v>0</v>
      </c>
      <c r="K45" s="33"/>
      <c r="L45" s="19"/>
      <c r="M45" s="151"/>
    </row>
    <row r="46" spans="1:13" ht="54" x14ac:dyDescent="0.25">
      <c r="A46" s="51">
        <v>4230</v>
      </c>
      <c r="B46" s="9" t="s">
        <v>398</v>
      </c>
      <c r="C46" s="54" t="s">
        <v>19</v>
      </c>
      <c r="D46" s="21">
        <f>SUM(D48:D55)</f>
        <v>147235.87</v>
      </c>
      <c r="E46" s="21">
        <f>SUM(E48:E55)</f>
        <v>147235.87</v>
      </c>
      <c r="F46" s="21" t="s">
        <v>1</v>
      </c>
      <c r="G46" s="21">
        <f>SUM(G48:G55)</f>
        <v>34962.777142857143</v>
      </c>
      <c r="H46" s="21">
        <f>SUM(H48:H55)</f>
        <v>63235.466309524163</v>
      </c>
      <c r="I46" s="21">
        <f>SUM(I48:I55)</f>
        <v>125088.64654761902</v>
      </c>
      <c r="J46" s="21">
        <f>SUM(J48:J55)</f>
        <v>147235.87</v>
      </c>
      <c r="K46" s="33"/>
      <c r="L46" s="19"/>
      <c r="M46" s="151"/>
    </row>
    <row r="47" spans="1:13" x14ac:dyDescent="0.25">
      <c r="A47" s="51"/>
      <c r="B47" s="11" t="s">
        <v>156</v>
      </c>
      <c r="C47" s="54"/>
      <c r="D47" s="21"/>
      <c r="E47" s="21"/>
      <c r="F47" s="21"/>
      <c r="G47" s="21"/>
      <c r="H47" s="21"/>
      <c r="I47" s="21"/>
      <c r="J47" s="21"/>
      <c r="K47" s="33"/>
      <c r="L47" s="19"/>
      <c r="M47" s="151"/>
    </row>
    <row r="48" spans="1:13" x14ac:dyDescent="0.25">
      <c r="A48" s="51">
        <v>4231</v>
      </c>
      <c r="B48" s="9" t="s">
        <v>399</v>
      </c>
      <c r="C48" s="54" t="s">
        <v>34</v>
      </c>
      <c r="D48" s="21"/>
      <c r="E48" s="21"/>
      <c r="F48" s="21" t="s">
        <v>1</v>
      </c>
      <c r="G48" s="21"/>
      <c r="H48" s="21"/>
      <c r="I48" s="21"/>
      <c r="J48" s="21"/>
      <c r="K48" s="33"/>
      <c r="L48" s="19"/>
      <c r="M48" s="151"/>
    </row>
    <row r="49" spans="1:13" x14ac:dyDescent="0.25">
      <c r="A49" s="51">
        <v>4232</v>
      </c>
      <c r="B49" s="9" t="s">
        <v>400</v>
      </c>
      <c r="C49" s="54" t="s">
        <v>35</v>
      </c>
      <c r="D49" s="21">
        <f>+'4.Gorcarakan ev tntesagitakan'!H27</f>
        <v>18000</v>
      </c>
      <c r="E49" s="21">
        <f>+'4.Gorcarakan ev tntesagitakan'!I27</f>
        <v>18000</v>
      </c>
      <c r="F49" s="21" t="s">
        <v>1</v>
      </c>
      <c r="G49" s="21">
        <f>+'4.Gorcarakan ev tntesagitakan'!K27</f>
        <v>4285.7142857142862</v>
      </c>
      <c r="H49" s="21">
        <f>+'4.Gorcarakan ev tntesagitakan'!L27</f>
        <v>8642.8571428571431</v>
      </c>
      <c r="I49" s="21">
        <f>+'4.Gorcarakan ev tntesagitakan'!M27</f>
        <v>13357.142857142857</v>
      </c>
      <c r="J49" s="21">
        <f>+'4.Gorcarakan ev tntesagitakan'!N27</f>
        <v>18000</v>
      </c>
      <c r="K49" s="33"/>
      <c r="L49" s="19"/>
      <c r="M49" s="151"/>
    </row>
    <row r="50" spans="1:13" ht="27" x14ac:dyDescent="0.25">
      <c r="A50" s="51">
        <v>4233</v>
      </c>
      <c r="B50" s="9" t="s">
        <v>401</v>
      </c>
      <c r="C50" s="54" t="s">
        <v>36</v>
      </c>
      <c r="D50" s="21"/>
      <c r="E50" s="21"/>
      <c r="F50" s="21" t="s">
        <v>1</v>
      </c>
      <c r="G50" s="21"/>
      <c r="H50" s="21"/>
      <c r="I50" s="21"/>
      <c r="J50" s="21"/>
      <c r="K50" s="33"/>
      <c r="L50" s="19"/>
      <c r="M50" s="151"/>
    </row>
    <row r="51" spans="1:13" x14ac:dyDescent="0.25">
      <c r="A51" s="51">
        <v>4234</v>
      </c>
      <c r="B51" s="9" t="s">
        <v>402</v>
      </c>
      <c r="C51" s="54" t="s">
        <v>37</v>
      </c>
      <c r="D51" s="21">
        <f>+'4.Gorcarakan ev tntesagitakan'!H28</f>
        <v>6669</v>
      </c>
      <c r="E51" s="21">
        <f>+'4.Gorcarakan ev tntesagitakan'!I28</f>
        <v>6669</v>
      </c>
      <c r="F51" s="21" t="s">
        <v>1</v>
      </c>
      <c r="G51" s="21">
        <f>+'4.Gorcarakan ev tntesagitakan'!K28</f>
        <v>1961.0571428571429</v>
      </c>
      <c r="H51" s="21">
        <f>+'4.Gorcarakan ev tntesagitakan'!L28</f>
        <v>3575.3785714285714</v>
      </c>
      <c r="I51" s="21">
        <f>+'4.Gorcarakan ev tntesagitakan'!M28</f>
        <v>5322.0214285714283</v>
      </c>
      <c r="J51" s="21">
        <f>+'4.Gorcarakan ev tntesagitakan'!N28</f>
        <v>6669</v>
      </c>
      <c r="K51" s="33"/>
      <c r="L51" s="19"/>
      <c r="M51" s="151"/>
    </row>
    <row r="52" spans="1:13" x14ac:dyDescent="0.25">
      <c r="A52" s="51">
        <v>4235</v>
      </c>
      <c r="B52" s="70" t="s">
        <v>403</v>
      </c>
      <c r="C52" s="6">
        <v>4235</v>
      </c>
      <c r="D52" s="21"/>
      <c r="E52" s="21"/>
      <c r="F52" s="21" t="s">
        <v>1</v>
      </c>
      <c r="G52" s="21"/>
      <c r="H52" s="21"/>
      <c r="I52" s="21"/>
      <c r="J52" s="21"/>
      <c r="K52" s="33"/>
      <c r="L52" s="19"/>
      <c r="M52" s="151"/>
    </row>
    <row r="53" spans="1:13" x14ac:dyDescent="0.25">
      <c r="A53" s="51">
        <v>4236</v>
      </c>
      <c r="B53" s="9" t="s">
        <v>404</v>
      </c>
      <c r="C53" s="54" t="s">
        <v>38</v>
      </c>
      <c r="D53" s="21"/>
      <c r="E53" s="21"/>
      <c r="F53" s="21" t="s">
        <v>1</v>
      </c>
      <c r="G53" s="21"/>
      <c r="H53" s="21"/>
      <c r="I53" s="21"/>
      <c r="J53" s="21"/>
      <c r="K53" s="33"/>
      <c r="L53" s="19"/>
      <c r="M53" s="151"/>
    </row>
    <row r="54" spans="1:13" x14ac:dyDescent="0.25">
      <c r="A54" s="51">
        <v>4237</v>
      </c>
      <c r="B54" s="9" t="s">
        <v>405</v>
      </c>
      <c r="C54" s="54" t="s">
        <v>39</v>
      </c>
      <c r="D54" s="21">
        <f>+'4.Gorcarakan ev tntesagitakan'!H29</f>
        <v>16308.2</v>
      </c>
      <c r="E54" s="21">
        <f>+'4.Gorcarakan ev tntesagitakan'!I29</f>
        <v>16308.2</v>
      </c>
      <c r="F54" s="21" t="s">
        <v>1</v>
      </c>
      <c r="G54" s="21">
        <f>+'4.Gorcarakan ev tntesagitakan'!K29</f>
        <v>4191.1047619047613</v>
      </c>
      <c r="H54" s="21">
        <f>+'4.Gorcarakan ev tntesagitakan'!L29</f>
        <v>8138.7246031746026</v>
      </c>
      <c r="I54" s="21">
        <f>+'4.Gorcarakan ev tntesagitakan'!M29</f>
        <v>12409.919841269841</v>
      </c>
      <c r="J54" s="21">
        <f>+'4.Gorcarakan ev tntesagitakan'!N29</f>
        <v>16308.2</v>
      </c>
      <c r="K54" s="33"/>
      <c r="L54" s="19"/>
      <c r="M54" s="151"/>
    </row>
    <row r="55" spans="1:13" x14ac:dyDescent="0.25">
      <c r="A55" s="51">
        <v>4238</v>
      </c>
      <c r="B55" s="9" t="s">
        <v>406</v>
      </c>
      <c r="C55" s="54" t="s">
        <v>40</v>
      </c>
      <c r="D55" s="21">
        <f>+'4.Gorcarakan ev tntesagitakan'!H30+'4.Gorcarakan ev tntesagitakan'!H81+'4.Gorcarakan ev tntesagitakan'!H158+'4.Gorcarakan ev tntesagitakan'!H279+'4.Gorcarakan ev tntesagitakan'!H358+'4.Gorcarakan ev tntesagitakan'!H406+'4.Gorcarakan ev tntesagitakan'!H432+'4.Gorcarakan ev tntesagitakan'!H449+'4.Gorcarakan ev tntesagitakan'!H722+'4.Gorcarakan ev tntesagitakan'!H746</f>
        <v>106258.67</v>
      </c>
      <c r="E55" s="21">
        <f>+'4.Gorcarakan ev tntesagitakan'!I30+'4.Gorcarakan ev tntesagitakan'!I81+'4.Gorcarakan ev tntesagitakan'!I158+'4.Gorcarakan ev tntesagitakan'!I279+'4.Gorcarakan ev tntesagitakan'!I358+'4.Gorcarakan ev tntesagitakan'!I406+'4.Gorcarakan ev tntesagitakan'!I432+'4.Gorcarakan ev tntesagitakan'!I449+'4.Gorcarakan ev tntesagitakan'!I722+'4.Gorcarakan ev tntesagitakan'!I746</f>
        <v>106258.67</v>
      </c>
      <c r="F55" s="21" t="s">
        <v>1</v>
      </c>
      <c r="G55" s="21">
        <f>+'4.Gorcarakan ev tntesagitakan'!K30+'4.Gorcarakan ev tntesagitakan'!K81+'4.Gorcarakan ev tntesagitakan'!K158+'4.Gorcarakan ev tntesagitakan'!K279+'4.Gorcarakan ev tntesagitakan'!K358+'4.Gorcarakan ev tntesagitakan'!K406+'4.Gorcarakan ev tntesagitakan'!K432+'4.Gorcarakan ev tntesagitakan'!K449+'4.Gorcarakan ev tntesagitakan'!K722+'4.Gorcarakan ev tntesagitakan'!K746</f>
        <v>24524.900952380955</v>
      </c>
      <c r="H55" s="21">
        <f>+'4.Gorcarakan ev tntesagitakan'!L30+'4.Gorcarakan ev tntesagitakan'!L81+'4.Gorcarakan ev tntesagitakan'!L158+'4.Gorcarakan ev tntesagitakan'!L279+'4.Gorcarakan ev tntesagitakan'!L358+'4.Gorcarakan ev tntesagitakan'!L406+'4.Gorcarakan ev tntesagitakan'!L432+'4.Gorcarakan ev tntesagitakan'!L449+'4.Gorcarakan ev tntesagitakan'!L722+'4.Gorcarakan ev tntesagitakan'!L746</f>
        <v>42878.505992063845</v>
      </c>
      <c r="I55" s="21">
        <f>+'4.Gorcarakan ev tntesagitakan'!M30+'4.Gorcarakan ev tntesagitakan'!M81+'4.Gorcarakan ev tntesagitakan'!M158+'4.Gorcarakan ev tntesagitakan'!M279+'4.Gorcarakan ev tntesagitakan'!M358+'4.Gorcarakan ev tntesagitakan'!M406+'4.Gorcarakan ev tntesagitakan'!M432+'4.Gorcarakan ev tntesagitakan'!M449+'4.Gorcarakan ev tntesagitakan'!M722+'4.Gorcarakan ev tntesagitakan'!M746</f>
        <v>93999.562420634902</v>
      </c>
      <c r="J55" s="21">
        <f>+'4.Gorcarakan ev tntesagitakan'!N30+'4.Gorcarakan ev tntesagitakan'!N81+'4.Gorcarakan ev tntesagitakan'!N158+'4.Gorcarakan ev tntesagitakan'!N279+'4.Gorcarakan ev tntesagitakan'!N358+'4.Gorcarakan ev tntesagitakan'!N406+'4.Gorcarakan ev tntesagitakan'!N432+'4.Gorcarakan ev tntesagitakan'!N449+'4.Gorcarakan ev tntesagitakan'!N722+'4.Gorcarakan ev tntesagitakan'!N746</f>
        <v>106258.67</v>
      </c>
      <c r="K55" s="33"/>
      <c r="L55" s="19"/>
      <c r="M55" s="151"/>
    </row>
    <row r="56" spans="1:13" ht="27" x14ac:dyDescent="0.25">
      <c r="A56" s="51">
        <v>4240</v>
      </c>
      <c r="B56" s="9" t="s">
        <v>407</v>
      </c>
      <c r="C56" s="54" t="s">
        <v>19</v>
      </c>
      <c r="D56" s="21">
        <f>+D58</f>
        <v>43869.3</v>
      </c>
      <c r="E56" s="21">
        <f>+E58</f>
        <v>43869.3</v>
      </c>
      <c r="F56" s="21" t="s">
        <v>1</v>
      </c>
      <c r="G56" s="21">
        <f>+G58</f>
        <v>11659.990476190476</v>
      </c>
      <c r="H56" s="21">
        <f>+H58</f>
        <v>21310.892460317456</v>
      </c>
      <c r="I56" s="21">
        <f>+I58</f>
        <v>35752.85198412701</v>
      </c>
      <c r="J56" s="21">
        <f>+J58</f>
        <v>43869.3</v>
      </c>
      <c r="K56" s="33"/>
      <c r="L56" s="19"/>
      <c r="M56" s="151"/>
    </row>
    <row r="57" spans="1:13" x14ac:dyDescent="0.25">
      <c r="A57" s="51"/>
      <c r="B57" s="11" t="s">
        <v>156</v>
      </c>
      <c r="C57" s="54"/>
      <c r="D57" s="21"/>
      <c r="E57" s="21"/>
      <c r="F57" s="21"/>
      <c r="G57" s="21"/>
      <c r="H57" s="21"/>
      <c r="I57" s="21"/>
      <c r="J57" s="21"/>
      <c r="K57" s="33"/>
      <c r="L57" s="19"/>
      <c r="M57" s="151"/>
    </row>
    <row r="58" spans="1:13" x14ac:dyDescent="0.25">
      <c r="A58" s="51">
        <v>4241</v>
      </c>
      <c r="B58" s="9" t="s">
        <v>408</v>
      </c>
      <c r="C58" s="54" t="s">
        <v>41</v>
      </c>
      <c r="D58" s="21">
        <f>+'4.Gorcarakan ev tntesagitakan'!H31+'4.Gorcarakan ev tntesagitakan'!H94+'4.Gorcarakan ev tntesagitakan'!H101+'4.Gorcarakan ev tntesagitakan'!H361+'4.Gorcarakan ev tntesagitakan'!H450</f>
        <v>43869.3</v>
      </c>
      <c r="E58" s="21">
        <f>+'4.Gorcarakan ev tntesagitakan'!I31+'4.Gorcarakan ev tntesagitakan'!I94+'4.Gorcarakan ev tntesagitakan'!I101+'4.Gorcarakan ev tntesagitakan'!I361+'4.Gorcarakan ev tntesagitakan'!I450</f>
        <v>43869.3</v>
      </c>
      <c r="F58" s="21" t="s">
        <v>1</v>
      </c>
      <c r="G58" s="21">
        <f>+'4.Gorcarakan ev tntesagitakan'!K31+'4.Gorcarakan ev tntesagitakan'!K94+'4.Gorcarakan ev tntesagitakan'!K101+'4.Gorcarakan ev tntesagitakan'!K361+'4.Gorcarakan ev tntesagitakan'!K450</f>
        <v>11659.990476190476</v>
      </c>
      <c r="H58" s="21">
        <f>+'4.Gorcarakan ev tntesagitakan'!L31+'4.Gorcarakan ev tntesagitakan'!L94+'4.Gorcarakan ev tntesagitakan'!L101+'4.Gorcarakan ev tntesagitakan'!L361+'4.Gorcarakan ev tntesagitakan'!L450</f>
        <v>21310.892460317456</v>
      </c>
      <c r="I58" s="21">
        <f>+'4.Gorcarakan ev tntesagitakan'!M31+'4.Gorcarakan ev tntesagitakan'!M94+'4.Gorcarakan ev tntesagitakan'!M101+'4.Gorcarakan ev tntesagitakan'!M361+'4.Gorcarakan ev tntesagitakan'!M450</f>
        <v>35752.85198412701</v>
      </c>
      <c r="J58" s="21">
        <f>+'4.Gorcarakan ev tntesagitakan'!N31+'4.Gorcarakan ev tntesagitakan'!N94+'4.Gorcarakan ev tntesagitakan'!N101+'4.Gorcarakan ev tntesagitakan'!N361+'4.Gorcarakan ev tntesagitakan'!N450</f>
        <v>43869.3</v>
      </c>
      <c r="K58" s="33"/>
      <c r="L58" s="19"/>
      <c r="M58" s="151"/>
    </row>
    <row r="59" spans="1:13" ht="27" x14ac:dyDescent="0.25">
      <c r="A59" s="51">
        <v>4250</v>
      </c>
      <c r="B59" s="9" t="s">
        <v>409</v>
      </c>
      <c r="C59" s="54" t="s">
        <v>19</v>
      </c>
      <c r="D59" s="21">
        <f>SUM(D61:D62)</f>
        <v>258496</v>
      </c>
      <c r="E59" s="21">
        <f>SUM(E61:E62)</f>
        <v>258496</v>
      </c>
      <c r="F59" s="21" t="s">
        <v>1</v>
      </c>
      <c r="G59" s="21">
        <f>SUM(G61:G62)</f>
        <v>51546.666666666672</v>
      </c>
      <c r="H59" s="21">
        <f>SUM(H61:H62)</f>
        <v>103952.44444444442</v>
      </c>
      <c r="I59" s="21">
        <f>SUM(I61:I62)</f>
        <v>254241.07936507935</v>
      </c>
      <c r="J59" s="21">
        <f>SUM(J61:J62)</f>
        <v>258496</v>
      </c>
      <c r="K59" s="33"/>
      <c r="L59" s="19"/>
      <c r="M59" s="151"/>
    </row>
    <row r="60" spans="1:13" x14ac:dyDescent="0.25">
      <c r="A60" s="51"/>
      <c r="B60" s="11" t="s">
        <v>156</v>
      </c>
      <c r="C60" s="54"/>
      <c r="D60" s="21"/>
      <c r="E60" s="21"/>
      <c r="F60" s="21"/>
      <c r="G60" s="21"/>
      <c r="H60" s="21"/>
      <c r="I60" s="21"/>
      <c r="J60" s="21"/>
      <c r="K60" s="33"/>
      <c r="L60" s="19"/>
      <c r="M60" s="151"/>
    </row>
    <row r="61" spans="1:13" ht="27" x14ac:dyDescent="0.25">
      <c r="A61" s="51">
        <v>4251</v>
      </c>
      <c r="B61" s="9" t="s">
        <v>410</v>
      </c>
      <c r="C61" s="54" t="s">
        <v>42</v>
      </c>
      <c r="D61" s="21">
        <f>+'4.Gorcarakan ev tntesagitakan'!H280+'4.Gorcarakan ev tntesagitakan'!H401+'4.Gorcarakan ev tntesagitakan'!H451+'4.Gorcarakan ev tntesagitakan'!H588+'4.Gorcarakan ev tntesagitakan'!H564+'4.Gorcarakan ev tntesagitakan'!H692</f>
        <v>251000</v>
      </c>
      <c r="E61" s="21">
        <f>+'4.Gorcarakan ev tntesagitakan'!I280+'4.Gorcarakan ev tntesagitakan'!I401+'4.Gorcarakan ev tntesagitakan'!I451+'4.Gorcarakan ev tntesagitakan'!I588+'4.Gorcarakan ev tntesagitakan'!I564+'4.Gorcarakan ev tntesagitakan'!I692</f>
        <v>251000</v>
      </c>
      <c r="F61" s="21" t="s">
        <v>1</v>
      </c>
      <c r="G61" s="21">
        <f>+'4.Gorcarakan ev tntesagitakan'!K280+'4.Gorcarakan ev tntesagitakan'!K401+'4.Gorcarakan ev tntesagitakan'!K451+'4.Gorcarakan ev tntesagitakan'!K588+'4.Gorcarakan ev tntesagitakan'!K564+'4.Gorcarakan ev tntesagitakan'!K692</f>
        <v>49761.904761904763</v>
      </c>
      <c r="H61" s="21">
        <f>+'4.Gorcarakan ev tntesagitakan'!L280+'4.Gorcarakan ev tntesagitakan'!L401+'4.Gorcarakan ev tntesagitakan'!L451+'4.Gorcarakan ev tntesagitakan'!L588+'4.Gorcarakan ev tntesagitakan'!L564+'4.Gorcarakan ev tntesagitakan'!L692</f>
        <v>100353.17460317459</v>
      </c>
      <c r="I61" s="21">
        <f>+'4.Gorcarakan ev tntesagitakan'!M280+'4.Gorcarakan ev tntesagitakan'!M401+'4.Gorcarakan ev tntesagitakan'!M451+'4.Gorcarakan ev tntesagitakan'!M588+'4.Gorcarakan ev tntesagitakan'!M564+'4.Gorcarakan ev tntesagitakan'!M692</f>
        <v>248678.57142857142</v>
      </c>
      <c r="J61" s="21">
        <f>+'4.Gorcarakan ev tntesagitakan'!N280+'4.Gorcarakan ev tntesagitakan'!N401+'4.Gorcarakan ev tntesagitakan'!N451+'4.Gorcarakan ev tntesagitakan'!N588+'4.Gorcarakan ev tntesagitakan'!N564+'4.Gorcarakan ev tntesagitakan'!N692</f>
        <v>251000</v>
      </c>
      <c r="K61" s="33"/>
      <c r="L61" s="19"/>
      <c r="M61" s="151"/>
    </row>
    <row r="62" spans="1:13" ht="27" x14ac:dyDescent="0.25">
      <c r="A62" s="51">
        <v>4252</v>
      </c>
      <c r="B62" s="9" t="s">
        <v>411</v>
      </c>
      <c r="C62" s="54" t="s">
        <v>43</v>
      </c>
      <c r="D62" s="21">
        <f>+'4.Gorcarakan ev tntesagitakan'!H33+'4.Gorcarakan ev tntesagitakan'!H362+'4.Gorcarakan ev tntesagitakan'!H452</f>
        <v>7496</v>
      </c>
      <c r="E62" s="21">
        <f>+'4.Gorcarakan ev tntesagitakan'!I33+'4.Gorcarakan ev tntesagitakan'!I362+'4.Gorcarakan ev tntesagitakan'!I452</f>
        <v>7496</v>
      </c>
      <c r="F62" s="21" t="s">
        <v>1</v>
      </c>
      <c r="G62" s="21">
        <f>+'4.Gorcarakan ev tntesagitakan'!K33+'4.Gorcarakan ev tntesagitakan'!K362+'4.Gorcarakan ev tntesagitakan'!K452</f>
        <v>1784.7619047619048</v>
      </c>
      <c r="H62" s="21">
        <f>+'4.Gorcarakan ev tntesagitakan'!L33+'4.Gorcarakan ev tntesagitakan'!L362+'4.Gorcarakan ev tntesagitakan'!L452</f>
        <v>3599.269841269841</v>
      </c>
      <c r="I62" s="21">
        <f>+'4.Gorcarakan ev tntesagitakan'!M33+'4.Gorcarakan ev tntesagitakan'!M362+'4.Gorcarakan ev tntesagitakan'!M452</f>
        <v>5562.5079365079364</v>
      </c>
      <c r="J62" s="21">
        <f>+'4.Gorcarakan ev tntesagitakan'!N33+'4.Gorcarakan ev tntesagitakan'!N362+'4.Gorcarakan ev tntesagitakan'!N452</f>
        <v>7496</v>
      </c>
      <c r="K62" s="33"/>
      <c r="L62" s="19"/>
      <c r="M62" s="151"/>
    </row>
    <row r="63" spans="1:13" ht="40.5" x14ac:dyDescent="0.25">
      <c r="A63" s="51">
        <v>4260</v>
      </c>
      <c r="B63" s="9" t="s">
        <v>412</v>
      </c>
      <c r="C63" s="54" t="s">
        <v>19</v>
      </c>
      <c r="D63" s="21">
        <f>SUM(D65:D72)</f>
        <v>339452.255</v>
      </c>
      <c r="E63" s="21">
        <f>SUM(E65:E72)</f>
        <v>339452.255</v>
      </c>
      <c r="F63" s="21" t="s">
        <v>1</v>
      </c>
      <c r="G63" s="21">
        <f>SUM(G65:G72)</f>
        <v>105863.03476190477</v>
      </c>
      <c r="H63" s="21">
        <f>SUM(H65:H72)</f>
        <v>199551.87426587299</v>
      </c>
      <c r="I63" s="21">
        <f>SUM(I65:I72)</f>
        <v>283611.10108730156</v>
      </c>
      <c r="J63" s="21">
        <f>SUM(J65:J72)</f>
        <v>339452.255</v>
      </c>
      <c r="K63" s="33"/>
      <c r="L63" s="19"/>
      <c r="M63" s="151"/>
    </row>
    <row r="64" spans="1:13" x14ac:dyDescent="0.25">
      <c r="A64" s="51"/>
      <c r="B64" s="11" t="s">
        <v>156</v>
      </c>
      <c r="C64" s="54"/>
      <c r="D64" s="21"/>
      <c r="E64" s="21"/>
      <c r="F64" s="21"/>
      <c r="G64" s="21"/>
      <c r="H64" s="21"/>
      <c r="I64" s="21"/>
      <c r="J64" s="21"/>
      <c r="K64" s="33"/>
      <c r="L64" s="19"/>
      <c r="M64" s="151"/>
    </row>
    <row r="65" spans="1:13" x14ac:dyDescent="0.25">
      <c r="A65" s="51">
        <v>4261</v>
      </c>
      <c r="B65" s="9" t="s">
        <v>413</v>
      </c>
      <c r="C65" s="54" t="s">
        <v>44</v>
      </c>
      <c r="D65" s="21">
        <f>+'4.Gorcarakan ev tntesagitakan'!H34+'4.Gorcarakan ev tntesagitakan'!H82+'4.Gorcarakan ev tntesagitakan'!H154+'4.Gorcarakan ev tntesagitakan'!H363+'4.Gorcarakan ev tntesagitakan'!H747+'4.Gorcarakan ev tntesagitakan'!H764</f>
        <v>10160</v>
      </c>
      <c r="E65" s="21">
        <f>+'4.Gorcarakan ev tntesagitakan'!I34+'4.Gorcarakan ev tntesagitakan'!I82+'4.Gorcarakan ev tntesagitakan'!I154+'4.Gorcarakan ev tntesagitakan'!I363+'4.Gorcarakan ev tntesagitakan'!I747+'4.Gorcarakan ev tntesagitakan'!I764</f>
        <v>10160</v>
      </c>
      <c r="F65" s="21" t="s">
        <v>1</v>
      </c>
      <c r="G65" s="21">
        <f>+'4.Gorcarakan ev tntesagitakan'!K34+'4.Gorcarakan ev tntesagitakan'!K82+'4.Gorcarakan ev tntesagitakan'!K154+'4.Gorcarakan ev tntesagitakan'!K363+'4.Gorcarakan ev tntesagitakan'!K747+'4.Gorcarakan ev tntesagitakan'!K764</f>
        <v>2419.0476190476193</v>
      </c>
      <c r="H65" s="21">
        <f>+'4.Gorcarakan ev tntesagitakan'!L34+'4.Gorcarakan ev tntesagitakan'!L82+'4.Gorcarakan ev tntesagitakan'!L154+'4.Gorcarakan ev tntesagitakan'!L363+'4.Gorcarakan ev tntesagitakan'!L747+'4.Gorcarakan ev tntesagitakan'!L764</f>
        <v>6957.7777777777783</v>
      </c>
      <c r="I65" s="21">
        <f>+'4.Gorcarakan ev tntesagitakan'!M34+'4.Gorcarakan ev tntesagitakan'!M82+'4.Gorcarakan ev tntesagitakan'!M154+'4.Gorcarakan ev tntesagitakan'!M363+'4.Gorcarakan ev tntesagitakan'!M747+'4.Gorcarakan ev tntesagitakan'!M764</f>
        <v>8571.1111111111113</v>
      </c>
      <c r="J65" s="21">
        <f>+'4.Gorcarakan ev tntesagitakan'!N34+'4.Gorcarakan ev tntesagitakan'!N82+'4.Gorcarakan ev tntesagitakan'!N154+'4.Gorcarakan ev tntesagitakan'!N363+'4.Gorcarakan ev tntesagitakan'!N747+'4.Gorcarakan ev tntesagitakan'!N764</f>
        <v>10160</v>
      </c>
      <c r="K65" s="33"/>
      <c r="L65" s="19"/>
      <c r="M65" s="151"/>
    </row>
    <row r="66" spans="1:13" x14ac:dyDescent="0.25">
      <c r="A66" s="51">
        <v>4262</v>
      </c>
      <c r="B66" s="9" t="s">
        <v>414</v>
      </c>
      <c r="C66" s="54" t="s">
        <v>45</v>
      </c>
      <c r="D66" s="21">
        <f>+'4.Gorcarakan ev tntesagitakan'!H398</f>
        <v>3500</v>
      </c>
      <c r="E66" s="21">
        <f>+'4.Gorcarakan ev tntesagitakan'!I398</f>
        <v>3500</v>
      </c>
      <c r="F66" s="21" t="s">
        <v>1</v>
      </c>
      <c r="G66" s="21">
        <f>+'4.Gorcarakan ev tntesagitakan'!K398</f>
        <v>833.33333333333337</v>
      </c>
      <c r="H66" s="21">
        <f>+'4.Gorcarakan ev tntesagitakan'!L398</f>
        <v>1680.5555555555557</v>
      </c>
      <c r="I66" s="21">
        <f>+'4.Gorcarakan ev tntesagitakan'!M398</f>
        <v>2597.2222222222222</v>
      </c>
      <c r="J66" s="21">
        <f>+'4.Gorcarakan ev tntesagitakan'!N398</f>
        <v>3500</v>
      </c>
      <c r="K66" s="33"/>
      <c r="L66" s="19"/>
      <c r="M66" s="151"/>
    </row>
    <row r="67" spans="1:13" ht="27" x14ac:dyDescent="0.25">
      <c r="A67" s="51">
        <v>4263</v>
      </c>
      <c r="B67" s="9" t="s">
        <v>415</v>
      </c>
      <c r="C67" s="54" t="s">
        <v>46</v>
      </c>
      <c r="D67" s="21"/>
      <c r="E67" s="21"/>
      <c r="F67" s="21" t="s">
        <v>1</v>
      </c>
      <c r="G67" s="21"/>
      <c r="H67" s="21"/>
      <c r="I67" s="21"/>
      <c r="J67" s="21"/>
      <c r="K67" s="33"/>
      <c r="L67" s="19"/>
      <c r="M67" s="151"/>
    </row>
    <row r="68" spans="1:13" x14ac:dyDescent="0.25">
      <c r="A68" s="51">
        <v>4264</v>
      </c>
      <c r="B68" s="9" t="s">
        <v>416</v>
      </c>
      <c r="C68" s="54" t="s">
        <v>47</v>
      </c>
      <c r="D68" s="21">
        <f>+'4.Gorcarakan ev tntesagitakan'!H35+'4.Gorcarakan ev tntesagitakan'!H155+'4.Gorcarakan ev tntesagitakan'!H364+'4.Gorcarakan ev tntesagitakan'!H399+'4.Gorcarakan ev tntesagitakan'!H453+'4.Gorcarakan ev tntesagitakan'!H766</f>
        <v>207625.666</v>
      </c>
      <c r="E68" s="21">
        <f>+'4.Gorcarakan ev tntesagitakan'!I35+'4.Gorcarakan ev tntesagitakan'!I155+'4.Gorcarakan ev tntesagitakan'!I364+'4.Gorcarakan ev tntesagitakan'!I399+'4.Gorcarakan ev tntesagitakan'!I453+'4.Gorcarakan ev tntesagitakan'!I766</f>
        <v>207625.666</v>
      </c>
      <c r="F68" s="21" t="s">
        <v>1</v>
      </c>
      <c r="G68" s="21">
        <f>+'4.Gorcarakan ev tntesagitakan'!K35+'4.Gorcarakan ev tntesagitakan'!K155+'4.Gorcarakan ev tntesagitakan'!K364+'4.Gorcarakan ev tntesagitakan'!K399+'4.Gorcarakan ev tntesagitakan'!K453+'4.Gorcarakan ev tntesagitakan'!K766</f>
        <v>59336.329333333328</v>
      </c>
      <c r="H68" s="21">
        <f>+'4.Gorcarakan ev tntesagitakan'!L35+'4.Gorcarakan ev tntesagitakan'!L155+'4.Gorcarakan ev tntesagitakan'!L364+'4.Gorcarakan ev tntesagitakan'!L399+'4.Gorcarakan ev tntesagitakan'!L453+'4.Gorcarakan ev tntesagitakan'!L766</f>
        <v>110563.17705555556</v>
      </c>
      <c r="I68" s="21">
        <f>+'4.Gorcarakan ev tntesagitakan'!M35+'4.Gorcarakan ev tntesagitakan'!M155+'4.Gorcarakan ev tntesagitakan'!M364+'4.Gorcarakan ev tntesagitakan'!M399+'4.Gorcarakan ev tntesagitakan'!M453+'4.Gorcarakan ev tntesagitakan'!M766</f>
        <v>161988.9467222222</v>
      </c>
      <c r="J68" s="21">
        <f>+'4.Gorcarakan ev tntesagitakan'!N35+'4.Gorcarakan ev tntesagitakan'!N155+'4.Gorcarakan ev tntesagitakan'!N364+'4.Gorcarakan ev tntesagitakan'!N399+'4.Gorcarakan ev tntesagitakan'!N453+'4.Gorcarakan ev tntesagitakan'!N766</f>
        <v>207625.666</v>
      </c>
      <c r="K68" s="33"/>
      <c r="L68" s="19"/>
      <c r="M68" s="151"/>
    </row>
    <row r="69" spans="1:13" ht="27" x14ac:dyDescent="0.25">
      <c r="A69" s="51">
        <v>4265</v>
      </c>
      <c r="B69" s="9" t="s">
        <v>417</v>
      </c>
      <c r="C69" s="54" t="s">
        <v>48</v>
      </c>
      <c r="D69" s="21"/>
      <c r="E69" s="21"/>
      <c r="F69" s="21" t="s">
        <v>1</v>
      </c>
      <c r="G69" s="21"/>
      <c r="H69" s="21"/>
      <c r="I69" s="21"/>
      <c r="J69" s="21"/>
      <c r="K69" s="33"/>
      <c r="L69" s="19"/>
      <c r="M69" s="151"/>
    </row>
    <row r="70" spans="1:13" x14ac:dyDescent="0.25">
      <c r="A70" s="51">
        <v>4266</v>
      </c>
      <c r="B70" s="9" t="s">
        <v>418</v>
      </c>
      <c r="C70" s="54" t="s">
        <v>49</v>
      </c>
      <c r="D70" s="21"/>
      <c r="E70" s="21"/>
      <c r="F70" s="21" t="s">
        <v>1</v>
      </c>
      <c r="G70" s="21"/>
      <c r="H70" s="21"/>
      <c r="I70" s="21"/>
      <c r="J70" s="21"/>
      <c r="K70" s="33"/>
      <c r="L70" s="19"/>
      <c r="M70" s="151"/>
    </row>
    <row r="71" spans="1:13" x14ac:dyDescent="0.25">
      <c r="A71" s="51">
        <v>4267</v>
      </c>
      <c r="B71" s="9" t="s">
        <v>419</v>
      </c>
      <c r="C71" s="54" t="s">
        <v>50</v>
      </c>
      <c r="D71" s="21"/>
      <c r="E71" s="21"/>
      <c r="F71" s="21" t="s">
        <v>1</v>
      </c>
      <c r="G71" s="21"/>
      <c r="H71" s="21"/>
      <c r="I71" s="21"/>
      <c r="J71" s="21"/>
      <c r="K71" s="33"/>
      <c r="L71" s="19"/>
      <c r="M71" s="151"/>
    </row>
    <row r="72" spans="1:13" x14ac:dyDescent="0.25">
      <c r="A72" s="51">
        <v>4268</v>
      </c>
      <c r="B72" s="9" t="s">
        <v>420</v>
      </c>
      <c r="C72" s="54" t="s">
        <v>51</v>
      </c>
      <c r="D72" s="21">
        <f>+'4.Gorcarakan ev tntesagitakan'!H36+'4.Gorcarakan ev tntesagitakan'!H83+'4.Gorcarakan ev tntesagitakan'!H281+'4.Gorcarakan ev tntesagitakan'!H365+'4.Gorcarakan ev tntesagitakan'!H400+'4.Gorcarakan ev tntesagitakan'!H433+'4.Gorcarakan ev tntesagitakan'!H454+'4.Gorcarakan ev tntesagitakan'!H589</f>
        <v>118166.58900000001</v>
      </c>
      <c r="E72" s="21">
        <f>+'4.Gorcarakan ev tntesagitakan'!I36+'4.Gorcarakan ev tntesagitakan'!I83+'4.Gorcarakan ev tntesagitakan'!I281+'4.Gorcarakan ev tntesagitakan'!I365+'4.Gorcarakan ev tntesagitakan'!I400+'4.Gorcarakan ev tntesagitakan'!I433+'4.Gorcarakan ev tntesagitakan'!I454+'4.Gorcarakan ev tntesagitakan'!I589</f>
        <v>118166.58900000001</v>
      </c>
      <c r="F72" s="21" t="s">
        <v>1</v>
      </c>
      <c r="G72" s="21">
        <f>+'4.Gorcarakan ev tntesagitakan'!K36+'4.Gorcarakan ev tntesagitakan'!K83+'4.Gorcarakan ev tntesagitakan'!K281+'4.Gorcarakan ev tntesagitakan'!K365+'4.Gorcarakan ev tntesagitakan'!K400+'4.Gorcarakan ev tntesagitakan'!K433+'4.Gorcarakan ev tntesagitakan'!K454+'4.Gorcarakan ev tntesagitakan'!K589</f>
        <v>43274.324476190486</v>
      </c>
      <c r="H72" s="21">
        <f>+'4.Gorcarakan ev tntesagitakan'!L36+'4.Gorcarakan ev tntesagitakan'!L83+'4.Gorcarakan ev tntesagitakan'!L281+'4.Gorcarakan ev tntesagitakan'!L365+'4.Gorcarakan ev tntesagitakan'!L400+'4.Gorcarakan ev tntesagitakan'!L433+'4.Gorcarakan ev tntesagitakan'!L454+'4.Gorcarakan ev tntesagitakan'!L589</f>
        <v>80350.363876984105</v>
      </c>
      <c r="I72" s="21">
        <f>+'4.Gorcarakan ev tntesagitakan'!M36+'4.Gorcarakan ev tntesagitakan'!M83+'4.Gorcarakan ev tntesagitakan'!M281+'4.Gorcarakan ev tntesagitakan'!M365+'4.Gorcarakan ev tntesagitakan'!M400+'4.Gorcarakan ev tntesagitakan'!M433+'4.Gorcarakan ev tntesagitakan'!M454+'4.Gorcarakan ev tntesagitakan'!M589</f>
        <v>110453.82103174603</v>
      </c>
      <c r="J72" s="21">
        <f>+'4.Gorcarakan ev tntesagitakan'!N36+'4.Gorcarakan ev tntesagitakan'!N83+'4.Gorcarakan ev tntesagitakan'!N281+'4.Gorcarakan ev tntesagitakan'!N365+'4.Gorcarakan ev tntesagitakan'!N400+'4.Gorcarakan ev tntesagitakan'!N433+'4.Gorcarakan ev tntesagitakan'!N454+'4.Gorcarakan ev tntesagitakan'!N589</f>
        <v>118166.58900000001</v>
      </c>
      <c r="K72" s="33"/>
      <c r="L72" s="19"/>
      <c r="M72" s="151"/>
    </row>
    <row r="73" spans="1:13" x14ac:dyDescent="0.25">
      <c r="A73" s="51">
        <v>4300</v>
      </c>
      <c r="B73" s="9" t="s">
        <v>421</v>
      </c>
      <c r="C73" s="54" t="s">
        <v>19</v>
      </c>
      <c r="D73" s="21">
        <f>SUM(D75,D79,D83)</f>
        <v>160000</v>
      </c>
      <c r="E73" s="21">
        <f>SUM(E75,E79,E83)</f>
        <v>160000</v>
      </c>
      <c r="F73" s="21" t="s">
        <v>0</v>
      </c>
      <c r="G73" s="21">
        <f>SUM(G75,G79,G83)</f>
        <v>38095.238095238099</v>
      </c>
      <c r="H73" s="21">
        <f>SUM(H75,H79,H83)</f>
        <v>76825.396825396834</v>
      </c>
      <c r="I73" s="21">
        <f>SUM(I75,I79,I83)</f>
        <v>118730.15873015873</v>
      </c>
      <c r="J73" s="21">
        <f>SUM(J75,J79,J83)</f>
        <v>160000</v>
      </c>
      <c r="K73" s="33"/>
      <c r="L73" s="19"/>
      <c r="M73" s="151"/>
    </row>
    <row r="74" spans="1:13" x14ac:dyDescent="0.25">
      <c r="A74" s="51"/>
      <c r="B74" s="11" t="s">
        <v>375</v>
      </c>
      <c r="C74" s="52"/>
      <c r="D74" s="21"/>
      <c r="E74" s="21"/>
      <c r="F74" s="21"/>
      <c r="G74" s="21"/>
      <c r="H74" s="21"/>
      <c r="I74" s="21"/>
      <c r="J74" s="21"/>
      <c r="K74" s="33"/>
      <c r="L74" s="19"/>
      <c r="M74" s="151"/>
    </row>
    <row r="75" spans="1:13" x14ac:dyDescent="0.25">
      <c r="A75" s="51">
        <v>4310</v>
      </c>
      <c r="B75" s="9" t="s">
        <v>422</v>
      </c>
      <c r="C75" s="54" t="s">
        <v>19</v>
      </c>
      <c r="D75" s="21">
        <f>SUM(D77:D78)</f>
        <v>160000</v>
      </c>
      <c r="E75" s="21">
        <f>SUM(E77:E78)</f>
        <v>160000</v>
      </c>
      <c r="F75" s="21" t="s">
        <v>0</v>
      </c>
      <c r="G75" s="21">
        <f>SUM(G77:G78)</f>
        <v>38095.238095238099</v>
      </c>
      <c r="H75" s="21">
        <f>SUM(H77:H78)</f>
        <v>76825.396825396834</v>
      </c>
      <c r="I75" s="21">
        <f>SUM(I77:I78)</f>
        <v>118730.15873015873</v>
      </c>
      <c r="J75" s="21">
        <f>SUM(J77:J78)</f>
        <v>160000</v>
      </c>
      <c r="K75" s="33"/>
      <c r="L75" s="19"/>
      <c r="M75" s="151"/>
    </row>
    <row r="76" spans="1:13" x14ac:dyDescent="0.25">
      <c r="A76" s="51"/>
      <c r="B76" s="11" t="s">
        <v>156</v>
      </c>
      <c r="C76" s="54"/>
      <c r="D76" s="21"/>
      <c r="E76" s="21"/>
      <c r="F76" s="21"/>
      <c r="G76" s="21"/>
      <c r="H76" s="21"/>
      <c r="I76" s="21"/>
      <c r="J76" s="21"/>
      <c r="K76" s="33"/>
      <c r="L76" s="19"/>
      <c r="M76" s="151"/>
    </row>
    <row r="77" spans="1:13" x14ac:dyDescent="0.25">
      <c r="A77" s="51">
        <v>4311</v>
      </c>
      <c r="B77" s="9" t="s">
        <v>423</v>
      </c>
      <c r="C77" s="54" t="s">
        <v>52</v>
      </c>
      <c r="D77" s="21"/>
      <c r="E77" s="21"/>
      <c r="F77" s="21" t="s">
        <v>1</v>
      </c>
      <c r="G77" s="21"/>
      <c r="H77" s="21"/>
      <c r="I77" s="21"/>
      <c r="J77" s="21"/>
      <c r="K77" s="33"/>
      <c r="L77" s="19"/>
      <c r="M77" s="151"/>
    </row>
    <row r="78" spans="1:13" x14ac:dyDescent="0.25">
      <c r="A78" s="51">
        <v>4312</v>
      </c>
      <c r="B78" s="9" t="s">
        <v>424</v>
      </c>
      <c r="C78" s="54" t="s">
        <v>53</v>
      </c>
      <c r="D78" s="21">
        <f>+'4.Gorcarakan ev tntesagitakan'!H105</f>
        <v>160000</v>
      </c>
      <c r="E78" s="21">
        <f>+'4.Gorcarakan ev tntesagitakan'!I105</f>
        <v>160000</v>
      </c>
      <c r="F78" s="21" t="s">
        <v>1</v>
      </c>
      <c r="G78" s="21">
        <f>+'4.Gorcarakan ev tntesagitakan'!K105</f>
        <v>38095.238095238099</v>
      </c>
      <c r="H78" s="21">
        <f>+'4.Gorcarakan ev tntesagitakan'!L105</f>
        <v>76825.396825396834</v>
      </c>
      <c r="I78" s="21">
        <f>+'4.Gorcarakan ev tntesagitakan'!M105</f>
        <v>118730.15873015873</v>
      </c>
      <c r="J78" s="21">
        <f>+'4.Gorcarakan ev tntesagitakan'!N105</f>
        <v>160000</v>
      </c>
      <c r="K78" s="33"/>
      <c r="L78" s="19"/>
      <c r="M78" s="151"/>
    </row>
    <row r="79" spans="1:13" x14ac:dyDescent="0.25">
      <c r="A79" s="51">
        <v>4320</v>
      </c>
      <c r="B79" s="9" t="s">
        <v>425</v>
      </c>
      <c r="C79" s="54" t="s">
        <v>19</v>
      </c>
      <c r="D79" s="21">
        <f>SUM(D81:D82)</f>
        <v>0</v>
      </c>
      <c r="E79" s="21">
        <f>SUM(E81:E82)</f>
        <v>0</v>
      </c>
      <c r="F79" s="21" t="s">
        <v>0</v>
      </c>
      <c r="G79" s="21">
        <f>SUM(G81:G82)</f>
        <v>0</v>
      </c>
      <c r="H79" s="21">
        <f>SUM(H81:H82)</f>
        <v>0</v>
      </c>
      <c r="I79" s="21">
        <f>SUM(I81:I82)</f>
        <v>0</v>
      </c>
      <c r="J79" s="21">
        <f>SUM(J81:J82)</f>
        <v>0</v>
      </c>
      <c r="K79" s="33"/>
      <c r="L79" s="19"/>
      <c r="M79" s="151"/>
    </row>
    <row r="80" spans="1:13" x14ac:dyDescent="0.25">
      <c r="A80" s="51"/>
      <c r="B80" s="11" t="s">
        <v>156</v>
      </c>
      <c r="C80" s="54"/>
      <c r="D80" s="21"/>
      <c r="E80" s="21"/>
      <c r="F80" s="21"/>
      <c r="G80" s="21"/>
      <c r="H80" s="21"/>
      <c r="I80" s="21"/>
      <c r="J80" s="21"/>
      <c r="K80" s="33"/>
      <c r="L80" s="19"/>
      <c r="M80" s="151"/>
    </row>
    <row r="81" spans="1:13" x14ac:dyDescent="0.25">
      <c r="A81" s="51">
        <v>4321</v>
      </c>
      <c r="B81" s="9" t="s">
        <v>426</v>
      </c>
      <c r="C81" s="54" t="s">
        <v>54</v>
      </c>
      <c r="D81" s="21"/>
      <c r="E81" s="21"/>
      <c r="F81" s="21" t="s">
        <v>1</v>
      </c>
      <c r="G81" s="21"/>
      <c r="H81" s="21"/>
      <c r="I81" s="21"/>
      <c r="J81" s="21"/>
      <c r="K81" s="33"/>
      <c r="L81" s="19"/>
      <c r="M81" s="151"/>
    </row>
    <row r="82" spans="1:13" x14ac:dyDescent="0.25">
      <c r="A82" s="51">
        <v>4322</v>
      </c>
      <c r="B82" s="9" t="s">
        <v>427</v>
      </c>
      <c r="C82" s="54" t="s">
        <v>55</v>
      </c>
      <c r="D82" s="21"/>
      <c r="E82" s="21"/>
      <c r="F82" s="21" t="s">
        <v>1</v>
      </c>
      <c r="G82" s="21"/>
      <c r="H82" s="21"/>
      <c r="I82" s="21"/>
      <c r="J82" s="21"/>
      <c r="K82" s="33"/>
      <c r="L82" s="19"/>
      <c r="M82" s="151"/>
    </row>
    <row r="83" spans="1:13" ht="27" x14ac:dyDescent="0.25">
      <c r="A83" s="51">
        <v>4330</v>
      </c>
      <c r="B83" s="9" t="s">
        <v>428</v>
      </c>
      <c r="C83" s="54" t="s">
        <v>19</v>
      </c>
      <c r="D83" s="21">
        <f>SUM(D85:D87)</f>
        <v>0</v>
      </c>
      <c r="E83" s="21">
        <f>SUM(E85:E87)</f>
        <v>0</v>
      </c>
      <c r="F83" s="21" t="s">
        <v>1</v>
      </c>
      <c r="G83" s="21">
        <f>SUM(G85:G87)</f>
        <v>0</v>
      </c>
      <c r="H83" s="21">
        <f>SUM(H85:H87)</f>
        <v>0</v>
      </c>
      <c r="I83" s="21">
        <f>SUM(I85:I87)</f>
        <v>0</v>
      </c>
      <c r="J83" s="21">
        <f>SUM(J85:J87)</f>
        <v>0</v>
      </c>
      <c r="K83" s="33"/>
      <c r="L83" s="19"/>
      <c r="M83" s="151"/>
    </row>
    <row r="84" spans="1:13" x14ac:dyDescent="0.25">
      <c r="A84" s="51"/>
      <c r="B84" s="11" t="s">
        <v>156</v>
      </c>
      <c r="C84" s="54"/>
      <c r="D84" s="21"/>
      <c r="E84" s="21"/>
      <c r="F84" s="21"/>
      <c r="G84" s="21"/>
      <c r="H84" s="21"/>
      <c r="I84" s="21"/>
      <c r="J84" s="21"/>
      <c r="K84" s="33"/>
      <c r="L84" s="19"/>
      <c r="M84" s="151"/>
    </row>
    <row r="85" spans="1:13" x14ac:dyDescent="0.25">
      <c r="A85" s="51">
        <v>4331</v>
      </c>
      <c r="B85" s="9" t="s">
        <v>429</v>
      </c>
      <c r="C85" s="54" t="s">
        <v>56</v>
      </c>
      <c r="D85" s="21"/>
      <c r="E85" s="21"/>
      <c r="F85" s="21" t="s">
        <v>1</v>
      </c>
      <c r="G85" s="21"/>
      <c r="H85" s="21"/>
      <c r="I85" s="21"/>
      <c r="J85" s="21"/>
      <c r="K85" s="33"/>
      <c r="L85" s="19"/>
      <c r="M85" s="151"/>
    </row>
    <row r="86" spans="1:13" x14ac:dyDescent="0.25">
      <c r="A86" s="51">
        <v>4332</v>
      </c>
      <c r="B86" s="9" t="s">
        <v>430</v>
      </c>
      <c r="C86" s="54" t="s">
        <v>57</v>
      </c>
      <c r="D86" s="21"/>
      <c r="E86" s="21"/>
      <c r="F86" s="21" t="s">
        <v>1</v>
      </c>
      <c r="G86" s="21"/>
      <c r="H86" s="21"/>
      <c r="I86" s="21"/>
      <c r="J86" s="21"/>
      <c r="K86" s="33"/>
      <c r="L86" s="19"/>
      <c r="M86" s="151"/>
    </row>
    <row r="87" spans="1:13" x14ac:dyDescent="0.25">
      <c r="A87" s="51">
        <v>4333</v>
      </c>
      <c r="B87" s="9" t="s">
        <v>431</v>
      </c>
      <c r="C87" s="54" t="s">
        <v>58</v>
      </c>
      <c r="D87" s="21"/>
      <c r="E87" s="21"/>
      <c r="F87" s="21" t="s">
        <v>1</v>
      </c>
      <c r="G87" s="21"/>
      <c r="H87" s="21"/>
      <c r="I87" s="21"/>
      <c r="J87" s="21"/>
      <c r="K87" s="33"/>
      <c r="L87" s="19"/>
      <c r="M87" s="151"/>
    </row>
    <row r="88" spans="1:13" x14ac:dyDescent="0.25">
      <c r="A88" s="51">
        <v>4400</v>
      </c>
      <c r="B88" s="9" t="s">
        <v>432</v>
      </c>
      <c r="C88" s="54" t="s">
        <v>19</v>
      </c>
      <c r="D88" s="21">
        <f>SUM(D90,D94)</f>
        <v>2322632.9239999987</v>
      </c>
      <c r="E88" s="21">
        <f>SUM(E90,E94)</f>
        <v>2322632.9239999987</v>
      </c>
      <c r="F88" s="21" t="s">
        <v>0</v>
      </c>
      <c r="G88" s="21">
        <f>SUM(G90,G94)</f>
        <v>539607.17809523782</v>
      </c>
      <c r="H88" s="21">
        <f>SUM(H90,H94)</f>
        <v>1088207.8091587292</v>
      </c>
      <c r="I88" s="21">
        <f>SUM(I90,I94)</f>
        <v>1681775.70506349</v>
      </c>
      <c r="J88" s="21">
        <f>SUM(J90,J94)</f>
        <v>2322632.9239999987</v>
      </c>
      <c r="K88" s="33"/>
      <c r="L88" s="19"/>
      <c r="M88" s="151"/>
    </row>
    <row r="89" spans="1:13" x14ac:dyDescent="0.25">
      <c r="A89" s="51"/>
      <c r="B89" s="11" t="s">
        <v>375</v>
      </c>
      <c r="C89" s="52"/>
      <c r="D89" s="21"/>
      <c r="E89" s="21"/>
      <c r="F89" s="21"/>
      <c r="G89" s="21"/>
      <c r="H89" s="21"/>
      <c r="I89" s="21"/>
      <c r="J89" s="21"/>
      <c r="K89" s="33"/>
      <c r="L89" s="19"/>
      <c r="M89" s="151"/>
    </row>
    <row r="90" spans="1:13" ht="27" x14ac:dyDescent="0.25">
      <c r="A90" s="51">
        <v>4410</v>
      </c>
      <c r="B90" s="9" t="s">
        <v>433</v>
      </c>
      <c r="C90" s="54" t="s">
        <v>19</v>
      </c>
      <c r="D90" s="21">
        <f>SUM(D92:D93)</f>
        <v>2322632.9239999987</v>
      </c>
      <c r="E90" s="21">
        <f>SUM(E92:E93)</f>
        <v>2322632.9239999987</v>
      </c>
      <c r="F90" s="21" t="s">
        <v>0</v>
      </c>
      <c r="G90" s="21">
        <f>SUM(G92:G93)</f>
        <v>539607.17809523782</v>
      </c>
      <c r="H90" s="21">
        <f>SUM(H92:H93)</f>
        <v>1088207.8091587292</v>
      </c>
      <c r="I90" s="21">
        <f>SUM(I92:I93)</f>
        <v>1681775.70506349</v>
      </c>
      <c r="J90" s="21">
        <f>SUM(J92:J93)</f>
        <v>2322632.9239999987</v>
      </c>
      <c r="K90" s="33"/>
      <c r="L90" s="19"/>
      <c r="M90" s="151"/>
    </row>
    <row r="91" spans="1:13" x14ac:dyDescent="0.25">
      <c r="A91" s="51"/>
      <c r="B91" s="11" t="s">
        <v>156</v>
      </c>
      <c r="C91" s="54"/>
      <c r="D91" s="21"/>
      <c r="E91" s="21"/>
      <c r="F91" s="21"/>
      <c r="G91" s="21"/>
      <c r="H91" s="21"/>
      <c r="I91" s="21"/>
      <c r="J91" s="21"/>
      <c r="K91" s="33"/>
      <c r="L91" s="19"/>
      <c r="M91" s="151"/>
    </row>
    <row r="92" spans="1:13" ht="27" x14ac:dyDescent="0.25">
      <c r="A92" s="51">
        <v>4411</v>
      </c>
      <c r="B92" s="9" t="s">
        <v>434</v>
      </c>
      <c r="C92" s="54" t="s">
        <v>59</v>
      </c>
      <c r="D92" s="21">
        <f>+'4.Gorcarakan ev tntesagitakan'!H456+'4.Gorcarakan ev tntesagitakan'!H545+'4.Gorcarakan ev tntesagitakan'!H556+'4.Gorcarakan ev tntesagitakan'!H563+'4.Gorcarakan ev tntesagitakan'!H569+'4.Gorcarakan ev tntesagitakan'!H640</f>
        <v>2322632.9239999987</v>
      </c>
      <c r="E92" s="21">
        <f>+'4.Gorcarakan ev tntesagitakan'!I456+'4.Gorcarakan ev tntesagitakan'!I545+'4.Gorcarakan ev tntesagitakan'!I556+'4.Gorcarakan ev tntesagitakan'!I563+'4.Gorcarakan ev tntesagitakan'!I569+'4.Gorcarakan ev tntesagitakan'!I640</f>
        <v>2322632.9239999987</v>
      </c>
      <c r="F92" s="21" t="s">
        <v>0</v>
      </c>
      <c r="G92" s="21">
        <f>+'4.Gorcarakan ev tntesagitakan'!K456+'4.Gorcarakan ev tntesagitakan'!K545+'4.Gorcarakan ev tntesagitakan'!K556+'4.Gorcarakan ev tntesagitakan'!K563+'4.Gorcarakan ev tntesagitakan'!K569+'4.Gorcarakan ev tntesagitakan'!K640</f>
        <v>539607.17809523782</v>
      </c>
      <c r="H92" s="21">
        <f>+'4.Gorcarakan ev tntesagitakan'!L456+'4.Gorcarakan ev tntesagitakan'!L545+'4.Gorcarakan ev tntesagitakan'!L556+'4.Gorcarakan ev tntesagitakan'!L563+'4.Gorcarakan ev tntesagitakan'!L569+'4.Gorcarakan ev tntesagitakan'!L640</f>
        <v>1088207.8091587292</v>
      </c>
      <c r="I92" s="21">
        <f>+'4.Gorcarakan ev tntesagitakan'!M456+'4.Gorcarakan ev tntesagitakan'!M545+'4.Gorcarakan ev tntesagitakan'!M556+'4.Gorcarakan ev tntesagitakan'!M563+'4.Gorcarakan ev tntesagitakan'!M569+'4.Gorcarakan ev tntesagitakan'!M640</f>
        <v>1681775.70506349</v>
      </c>
      <c r="J92" s="21">
        <f>+'4.Gorcarakan ev tntesagitakan'!N456+'4.Gorcarakan ev tntesagitakan'!N545+'4.Gorcarakan ev tntesagitakan'!N556+'4.Gorcarakan ev tntesagitakan'!N563+'4.Gorcarakan ev tntesagitakan'!N569+'4.Gorcarakan ev tntesagitakan'!N640</f>
        <v>2322632.9239999987</v>
      </c>
      <c r="K92" s="33"/>
      <c r="L92" s="19"/>
      <c r="M92" s="151"/>
    </row>
    <row r="93" spans="1:13" ht="27" x14ac:dyDescent="0.25">
      <c r="A93" s="51">
        <v>4412</v>
      </c>
      <c r="B93" s="9" t="s">
        <v>435</v>
      </c>
      <c r="C93" s="54" t="s">
        <v>60</v>
      </c>
      <c r="D93" s="21"/>
      <c r="E93" s="21"/>
      <c r="F93" s="21" t="s">
        <v>1</v>
      </c>
      <c r="G93" s="21">
        <f>SUM(H93:I93)</f>
        <v>0</v>
      </c>
      <c r="H93" s="21">
        <f>SUM(I93:J93)</f>
        <v>0</v>
      </c>
      <c r="I93" s="21">
        <f>SUM(J93:L93)</f>
        <v>0</v>
      </c>
      <c r="J93" s="21">
        <f>SUM(L93:L93)</f>
        <v>0</v>
      </c>
      <c r="K93" s="33"/>
      <c r="L93" s="19"/>
      <c r="M93" s="151"/>
    </row>
    <row r="94" spans="1:13" ht="27" x14ac:dyDescent="0.25">
      <c r="A94" s="51">
        <v>4420</v>
      </c>
      <c r="B94" s="9" t="s">
        <v>436</v>
      </c>
      <c r="C94" s="54" t="s">
        <v>19</v>
      </c>
      <c r="D94" s="21">
        <f>SUM(D96:D97)</f>
        <v>0</v>
      </c>
      <c r="E94" s="21">
        <f>SUM(E96:E97)</f>
        <v>0</v>
      </c>
      <c r="F94" s="21" t="s">
        <v>0</v>
      </c>
      <c r="G94" s="21">
        <f>SUM(G96:G97)</f>
        <v>0</v>
      </c>
      <c r="H94" s="21">
        <f>SUM(H96:H97)</f>
        <v>0</v>
      </c>
      <c r="I94" s="21">
        <f>SUM(I96:I97)</f>
        <v>0</v>
      </c>
      <c r="J94" s="21">
        <f>SUM(J96:J97)</f>
        <v>0</v>
      </c>
      <c r="K94" s="33"/>
      <c r="L94" s="19"/>
      <c r="M94" s="151"/>
    </row>
    <row r="95" spans="1:13" x14ac:dyDescent="0.25">
      <c r="A95" s="51"/>
      <c r="B95" s="11" t="s">
        <v>156</v>
      </c>
      <c r="C95" s="54"/>
      <c r="D95" s="21"/>
      <c r="E95" s="21"/>
      <c r="F95" s="21"/>
      <c r="G95" s="21"/>
      <c r="H95" s="21"/>
      <c r="I95" s="21"/>
      <c r="J95" s="21"/>
      <c r="K95" s="33"/>
      <c r="L95" s="19"/>
      <c r="M95" s="151"/>
    </row>
    <row r="96" spans="1:13" ht="27" x14ac:dyDescent="0.25">
      <c r="A96" s="51">
        <v>4421</v>
      </c>
      <c r="B96" s="9" t="s">
        <v>437</v>
      </c>
      <c r="C96" s="54" t="s">
        <v>61</v>
      </c>
      <c r="D96" s="21">
        <f>+'4.Gorcarakan ev tntesagitakan'!H157+'4.Gorcarakan ev tntesagitakan'!H455</f>
        <v>0</v>
      </c>
      <c r="E96" s="21">
        <f>+'4.Gorcarakan ev tntesagitakan'!I157+'4.Gorcarakan ev tntesagitakan'!I455</f>
        <v>0</v>
      </c>
      <c r="F96" s="21" t="s">
        <v>1</v>
      </c>
      <c r="G96" s="21">
        <f>+'4.Gorcarakan ev tntesagitakan'!K157+'4.Gorcarakan ev tntesagitakan'!K455</f>
        <v>0</v>
      </c>
      <c r="H96" s="21">
        <f>+'4.Gorcarakan ev tntesagitakan'!L157+'4.Gorcarakan ev tntesagitakan'!L455</f>
        <v>0</v>
      </c>
      <c r="I96" s="21">
        <f>+'4.Gorcarakan ev tntesagitakan'!M157+'4.Gorcarakan ev tntesagitakan'!M455</f>
        <v>0</v>
      </c>
      <c r="J96" s="21">
        <f>+'4.Gorcarakan ev tntesagitakan'!N157+'4.Gorcarakan ev tntesagitakan'!N455</f>
        <v>0</v>
      </c>
      <c r="K96" s="33"/>
      <c r="L96" s="19"/>
      <c r="M96" s="151"/>
    </row>
    <row r="97" spans="1:13" ht="27" x14ac:dyDescent="0.25">
      <c r="A97" s="51">
        <v>4422</v>
      </c>
      <c r="B97" s="9" t="s">
        <v>438</v>
      </c>
      <c r="C97" s="54" t="s">
        <v>62</v>
      </c>
      <c r="D97" s="21"/>
      <c r="E97" s="21"/>
      <c r="F97" s="21" t="s">
        <v>1</v>
      </c>
      <c r="G97" s="21"/>
      <c r="H97" s="21"/>
      <c r="I97" s="21"/>
      <c r="J97" s="21"/>
      <c r="K97" s="33"/>
      <c r="L97" s="19"/>
      <c r="M97" s="151"/>
    </row>
    <row r="98" spans="1:13" ht="27" x14ac:dyDescent="0.25">
      <c r="A98" s="51">
        <v>4500</v>
      </c>
      <c r="B98" s="9" t="s">
        <v>439</v>
      </c>
      <c r="C98" s="54" t="s">
        <v>19</v>
      </c>
      <c r="D98" s="21">
        <f>SUM(D100,D104,D108,D119)</f>
        <v>0</v>
      </c>
      <c r="E98" s="21">
        <f>SUM(E100,E104,E108,E119)</f>
        <v>0</v>
      </c>
      <c r="F98" s="21" t="s">
        <v>0</v>
      </c>
      <c r="G98" s="21">
        <f>SUM(G100,G104,G108,G119)</f>
        <v>0</v>
      </c>
      <c r="H98" s="21">
        <f>SUM(H100,H104,H108,H119)</f>
        <v>0</v>
      </c>
      <c r="I98" s="21">
        <f>SUM(I100,I104,I108,I119)</f>
        <v>0</v>
      </c>
      <c r="J98" s="21">
        <f>SUM(J100,J104,J108,J119)</f>
        <v>0</v>
      </c>
      <c r="K98" s="33"/>
      <c r="L98" s="19"/>
      <c r="M98" s="151"/>
    </row>
    <row r="99" spans="1:13" x14ac:dyDescent="0.25">
      <c r="A99" s="51"/>
      <c r="B99" s="11" t="s">
        <v>375</v>
      </c>
      <c r="C99" s="52"/>
      <c r="D99" s="21"/>
      <c r="E99" s="21"/>
      <c r="F99" s="21"/>
      <c r="G99" s="21"/>
      <c r="H99" s="21"/>
      <c r="I99" s="21"/>
      <c r="J99" s="21"/>
      <c r="K99" s="33"/>
      <c r="L99" s="19"/>
      <c r="M99" s="151"/>
    </row>
    <row r="100" spans="1:13" ht="27" x14ac:dyDescent="0.25">
      <c r="A100" s="51">
        <v>4510</v>
      </c>
      <c r="B100" s="9" t="s">
        <v>440</v>
      </c>
      <c r="C100" s="54" t="s">
        <v>19</v>
      </c>
      <c r="D100" s="21">
        <f>SUM(D102:D103)</f>
        <v>0</v>
      </c>
      <c r="E100" s="21">
        <f>SUM(E102:E103)</f>
        <v>0</v>
      </c>
      <c r="F100" s="21" t="s">
        <v>0</v>
      </c>
      <c r="G100" s="21">
        <f>SUM(G102:G103)</f>
        <v>0</v>
      </c>
      <c r="H100" s="21">
        <f>SUM(H102:H103)</f>
        <v>0</v>
      </c>
      <c r="I100" s="21">
        <f>SUM(I102:I103)</f>
        <v>0</v>
      </c>
      <c r="J100" s="21">
        <f>SUM(J102:J103)</f>
        <v>0</v>
      </c>
      <c r="K100" s="33"/>
      <c r="L100" s="19"/>
      <c r="M100" s="151"/>
    </row>
    <row r="101" spans="1:13" x14ac:dyDescent="0.25">
      <c r="A101" s="51"/>
      <c r="B101" s="11" t="s">
        <v>156</v>
      </c>
      <c r="C101" s="54"/>
      <c r="D101" s="21"/>
      <c r="E101" s="21"/>
      <c r="F101" s="21"/>
      <c r="G101" s="21"/>
      <c r="H101" s="21"/>
      <c r="I101" s="21"/>
      <c r="J101" s="21"/>
      <c r="K101" s="33"/>
      <c r="L101" s="19"/>
      <c r="M101" s="151"/>
    </row>
    <row r="102" spans="1:13" ht="27" x14ac:dyDescent="0.25">
      <c r="A102" s="51">
        <v>4511</v>
      </c>
      <c r="B102" s="9" t="s">
        <v>441</v>
      </c>
      <c r="C102" s="54" t="s">
        <v>63</v>
      </c>
      <c r="D102" s="21"/>
      <c r="E102" s="199"/>
      <c r="F102" s="21" t="s">
        <v>1</v>
      </c>
      <c r="G102" s="21"/>
      <c r="H102" s="21"/>
      <c r="I102" s="21"/>
      <c r="J102" s="21"/>
      <c r="K102" s="33"/>
      <c r="L102" s="19"/>
      <c r="M102" s="151"/>
    </row>
    <row r="103" spans="1:13" ht="27" x14ac:dyDescent="0.25">
      <c r="A103" s="51">
        <v>4512</v>
      </c>
      <c r="B103" s="9" t="s">
        <v>442</v>
      </c>
      <c r="C103" s="54" t="s">
        <v>64</v>
      </c>
      <c r="D103" s="21"/>
      <c r="E103" s="199"/>
      <c r="F103" s="21" t="s">
        <v>1</v>
      </c>
      <c r="G103" s="21"/>
      <c r="H103" s="21"/>
      <c r="I103" s="21"/>
      <c r="J103" s="21"/>
      <c r="K103" s="33"/>
      <c r="L103" s="19"/>
      <c r="M103" s="151"/>
    </row>
    <row r="104" spans="1:13" ht="27" x14ac:dyDescent="0.25">
      <c r="A104" s="51">
        <v>4520</v>
      </c>
      <c r="B104" s="9" t="s">
        <v>443</v>
      </c>
      <c r="C104" s="54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  <c r="K104" s="33"/>
      <c r="L104" s="19"/>
      <c r="M104" s="151"/>
    </row>
    <row r="105" spans="1:13" x14ac:dyDescent="0.25">
      <c r="A105" s="51"/>
      <c r="B105" s="11" t="s">
        <v>156</v>
      </c>
      <c r="C105" s="54"/>
      <c r="D105" s="21"/>
      <c r="E105" s="21"/>
      <c r="F105" s="21"/>
      <c r="G105" s="21"/>
      <c r="H105" s="21"/>
      <c r="I105" s="21"/>
      <c r="J105" s="21"/>
      <c r="K105" s="33"/>
      <c r="L105" s="19"/>
      <c r="M105" s="151"/>
    </row>
    <row r="106" spans="1:13" ht="27" x14ac:dyDescent="0.25">
      <c r="A106" s="51">
        <v>4521</v>
      </c>
      <c r="B106" s="9" t="s">
        <v>444</v>
      </c>
      <c r="C106" s="54" t="s">
        <v>65</v>
      </c>
      <c r="D106" s="21"/>
      <c r="E106" s="21"/>
      <c r="F106" s="21" t="s">
        <v>1</v>
      </c>
      <c r="G106" s="21"/>
      <c r="H106" s="21"/>
      <c r="I106" s="21"/>
      <c r="J106" s="21"/>
      <c r="K106" s="33"/>
      <c r="L106" s="19"/>
      <c r="M106" s="151"/>
    </row>
    <row r="107" spans="1:13" ht="27" x14ac:dyDescent="0.25">
      <c r="A107" s="51">
        <v>4522</v>
      </c>
      <c r="B107" s="9" t="s">
        <v>445</v>
      </c>
      <c r="C107" s="54" t="s">
        <v>66</v>
      </c>
      <c r="D107" s="21"/>
      <c r="E107" s="21"/>
      <c r="F107" s="21" t="s">
        <v>1</v>
      </c>
      <c r="G107" s="21"/>
      <c r="H107" s="21"/>
      <c r="I107" s="21"/>
      <c r="J107" s="21"/>
      <c r="K107" s="33"/>
      <c r="L107" s="19"/>
      <c r="M107" s="151"/>
    </row>
    <row r="108" spans="1:13" ht="27" x14ac:dyDescent="0.25">
      <c r="A108" s="51">
        <v>4530</v>
      </c>
      <c r="B108" s="9" t="s">
        <v>446</v>
      </c>
      <c r="C108" s="54" t="s">
        <v>19</v>
      </c>
      <c r="D108" s="21">
        <f>SUM(D110:D112)</f>
        <v>0</v>
      </c>
      <c r="E108" s="21">
        <f>SUM(E110:E112)</f>
        <v>0</v>
      </c>
      <c r="F108" s="21" t="s">
        <v>1</v>
      </c>
      <c r="G108" s="21">
        <f>SUM(G110:G112)</f>
        <v>0</v>
      </c>
      <c r="H108" s="21">
        <f>SUM(H110:H112)</f>
        <v>0</v>
      </c>
      <c r="I108" s="21">
        <f>SUM(I110:I112)</f>
        <v>0</v>
      </c>
      <c r="J108" s="21">
        <f>SUM(J110:J112)</f>
        <v>0</v>
      </c>
      <c r="K108" s="33"/>
      <c r="L108" s="19"/>
      <c r="M108" s="151"/>
    </row>
    <row r="109" spans="1:13" x14ac:dyDescent="0.25">
      <c r="A109" s="51"/>
      <c r="B109" s="11" t="s">
        <v>156</v>
      </c>
      <c r="C109" s="54"/>
      <c r="D109" s="21"/>
      <c r="E109" s="21"/>
      <c r="F109" s="21" t="s">
        <v>1</v>
      </c>
      <c r="G109" s="21"/>
      <c r="H109" s="21"/>
      <c r="I109" s="21"/>
      <c r="J109" s="21"/>
      <c r="K109" s="33"/>
      <c r="L109" s="19"/>
      <c r="M109" s="151"/>
    </row>
    <row r="110" spans="1:13" ht="27" x14ac:dyDescent="0.25">
      <c r="A110" s="51">
        <v>4531</v>
      </c>
      <c r="B110" s="70" t="s">
        <v>447</v>
      </c>
      <c r="C110" s="54" t="s">
        <v>67</v>
      </c>
      <c r="D110" s="21">
        <f>+'4.Gorcarakan ev tntesagitakan'!H108+'4.Gorcarakan ev tntesagitakan'!H614</f>
        <v>0</v>
      </c>
      <c r="E110" s="21">
        <f>+'4.Gorcarakan ev tntesagitakan'!I108+'4.Gorcarakan ev tntesagitakan'!I614</f>
        <v>0</v>
      </c>
      <c r="F110" s="21" t="s">
        <v>1</v>
      </c>
      <c r="G110" s="21">
        <f>+'4.Gorcarakan ev tntesagitakan'!K108+'4.Gorcarakan ev tntesagitakan'!K614</f>
        <v>0</v>
      </c>
      <c r="H110" s="21">
        <f>+'4.Gorcarakan ev tntesagitakan'!L108+'4.Gorcarakan ev tntesagitakan'!L614</f>
        <v>0</v>
      </c>
      <c r="I110" s="21">
        <f>+'4.Gorcarakan ev tntesagitakan'!M108+'4.Gorcarakan ev tntesagitakan'!M614</f>
        <v>0</v>
      </c>
      <c r="J110" s="21">
        <f>+'4.Gorcarakan ev tntesagitakan'!N108+'4.Gorcarakan ev tntesagitakan'!N614</f>
        <v>0</v>
      </c>
      <c r="K110" s="33"/>
      <c r="L110" s="19"/>
      <c r="M110" s="151"/>
    </row>
    <row r="111" spans="1:13" ht="27" x14ac:dyDescent="0.25">
      <c r="A111" s="51">
        <v>4532</v>
      </c>
      <c r="B111" s="70" t="s">
        <v>448</v>
      </c>
      <c r="C111" s="54" t="s">
        <v>68</v>
      </c>
      <c r="D111" s="21"/>
      <c r="E111" s="21"/>
      <c r="F111" s="21" t="s">
        <v>1</v>
      </c>
      <c r="G111" s="21"/>
      <c r="H111" s="21"/>
      <c r="I111" s="21"/>
      <c r="J111" s="21"/>
      <c r="K111" s="33"/>
      <c r="L111" s="19"/>
      <c r="M111" s="151"/>
    </row>
    <row r="112" spans="1:13" ht="27" x14ac:dyDescent="0.25">
      <c r="A112" s="51">
        <v>4533</v>
      </c>
      <c r="B112" s="70" t="s">
        <v>449</v>
      </c>
      <c r="C112" s="54" t="s">
        <v>69</v>
      </c>
      <c r="D112" s="21"/>
      <c r="E112" s="21"/>
      <c r="F112" s="21" t="s">
        <v>1</v>
      </c>
      <c r="G112" s="21"/>
      <c r="H112" s="21"/>
      <c r="I112" s="21"/>
      <c r="J112" s="21"/>
      <c r="K112" s="33"/>
      <c r="L112" s="19"/>
      <c r="M112" s="151"/>
    </row>
    <row r="113" spans="1:13" x14ac:dyDescent="0.25">
      <c r="A113" s="51"/>
      <c r="B113" s="70" t="s">
        <v>375</v>
      </c>
      <c r="C113" s="54"/>
      <c r="D113" s="21"/>
      <c r="E113" s="21"/>
      <c r="F113" s="21" t="s">
        <v>1</v>
      </c>
      <c r="G113" s="21"/>
      <c r="H113" s="21"/>
      <c r="I113" s="21"/>
      <c r="J113" s="21"/>
      <c r="K113" s="33"/>
      <c r="L113" s="19"/>
      <c r="M113" s="151"/>
    </row>
    <row r="114" spans="1:13" ht="27" x14ac:dyDescent="0.25">
      <c r="A114" s="51">
        <v>4534</v>
      </c>
      <c r="B114" s="70" t="s">
        <v>450</v>
      </c>
      <c r="C114" s="54"/>
      <c r="D114" s="21">
        <f>SUM(D116:D116)</f>
        <v>0</v>
      </c>
      <c r="E114" s="21">
        <f>SUM(E116:E116)</f>
        <v>0</v>
      </c>
      <c r="F114" s="21" t="s">
        <v>1</v>
      </c>
      <c r="G114" s="21">
        <f>SUM(G116:G116)</f>
        <v>0</v>
      </c>
      <c r="H114" s="21">
        <f>SUM(H116:H116)</f>
        <v>0</v>
      </c>
      <c r="I114" s="21">
        <f>SUM(I116:I116)</f>
        <v>0</v>
      </c>
      <c r="J114" s="21">
        <f>SUM(J116:J116)</f>
        <v>0</v>
      </c>
      <c r="K114" s="33"/>
      <c r="L114" s="19"/>
      <c r="M114" s="151"/>
    </row>
    <row r="115" spans="1:13" x14ac:dyDescent="0.25">
      <c r="A115" s="51"/>
      <c r="B115" s="70" t="s">
        <v>451</v>
      </c>
      <c r="C115" s="54"/>
      <c r="D115" s="21"/>
      <c r="E115" s="21"/>
      <c r="F115" s="21" t="s">
        <v>1</v>
      </c>
      <c r="G115" s="21"/>
      <c r="H115" s="21"/>
      <c r="I115" s="21"/>
      <c r="J115" s="21"/>
      <c r="K115" s="33"/>
      <c r="L115" s="19"/>
      <c r="M115" s="151"/>
    </row>
    <row r="116" spans="1:13" x14ac:dyDescent="0.25">
      <c r="A116" s="51">
        <v>4536</v>
      </c>
      <c r="B116" s="70" t="s">
        <v>452</v>
      </c>
      <c r="C116" s="54"/>
      <c r="D116" s="21">
        <f>SUM(E116:F116)</f>
        <v>0</v>
      </c>
      <c r="E116" s="21"/>
      <c r="F116" s="21" t="s">
        <v>1</v>
      </c>
      <c r="G116" s="21">
        <f t="shared" ref="G116:H118" si="6">SUM(H116:I116)</f>
        <v>0</v>
      </c>
      <c r="H116" s="21">
        <f t="shared" si="6"/>
        <v>0</v>
      </c>
      <c r="I116" s="21">
        <f>SUM(J116:L116)</f>
        <v>0</v>
      </c>
      <c r="J116" s="21">
        <f>SUM(L116:L116)</f>
        <v>0</v>
      </c>
      <c r="K116" s="33"/>
      <c r="L116" s="19"/>
      <c r="M116" s="151"/>
    </row>
    <row r="117" spans="1:13" x14ac:dyDescent="0.25">
      <c r="A117" s="51">
        <v>4537</v>
      </c>
      <c r="B117" s="70" t="s">
        <v>453</v>
      </c>
      <c r="C117" s="54"/>
      <c r="D117" s="21">
        <f>SUM(E117:F117)</f>
        <v>0</v>
      </c>
      <c r="E117" s="21"/>
      <c r="F117" s="21" t="s">
        <v>1</v>
      </c>
      <c r="G117" s="21">
        <f t="shared" si="6"/>
        <v>0</v>
      </c>
      <c r="H117" s="21">
        <f t="shared" si="6"/>
        <v>0</v>
      </c>
      <c r="I117" s="21">
        <f>SUM(J117:L117)</f>
        <v>0</v>
      </c>
      <c r="J117" s="21">
        <f>SUM(L117:L117)</f>
        <v>0</v>
      </c>
      <c r="K117" s="33"/>
      <c r="L117" s="19"/>
      <c r="M117" s="151"/>
    </row>
    <row r="118" spans="1:13" x14ac:dyDescent="0.25">
      <c r="A118" s="51">
        <v>4538</v>
      </c>
      <c r="B118" s="70" t="s">
        <v>454</v>
      </c>
      <c r="C118" s="54"/>
      <c r="D118" s="21">
        <f>SUM(E118:F118)</f>
        <v>0</v>
      </c>
      <c r="E118" s="21"/>
      <c r="F118" s="21" t="s">
        <v>1</v>
      </c>
      <c r="G118" s="21">
        <f t="shared" si="6"/>
        <v>0</v>
      </c>
      <c r="H118" s="21">
        <f t="shared" si="6"/>
        <v>0</v>
      </c>
      <c r="I118" s="21">
        <f>SUM(J118:L118)</f>
        <v>0</v>
      </c>
      <c r="J118" s="21">
        <f>SUM(L118:L118)</f>
        <v>0</v>
      </c>
      <c r="K118" s="33"/>
      <c r="L118" s="19"/>
      <c r="M118" s="151"/>
    </row>
    <row r="119" spans="1:13" ht="27" x14ac:dyDescent="0.25">
      <c r="A119" s="51">
        <v>4540</v>
      </c>
      <c r="B119" s="9" t="s">
        <v>455</v>
      </c>
      <c r="C119" s="54" t="s">
        <v>19</v>
      </c>
      <c r="D119" s="21">
        <f>SUM(D121:D123)</f>
        <v>0</v>
      </c>
      <c r="E119" s="205">
        <f>E121+E122+E123</f>
        <v>0</v>
      </c>
      <c r="F119" s="21" t="s">
        <v>1</v>
      </c>
      <c r="G119" s="21">
        <f>SUM(G121:G123)</f>
        <v>0</v>
      </c>
      <c r="H119" s="21">
        <f>SUM(H121:H123)</f>
        <v>0</v>
      </c>
      <c r="I119" s="21">
        <f>SUM(I121:I123)</f>
        <v>0</v>
      </c>
      <c r="J119" s="21">
        <f>SUM(J121:J123)</f>
        <v>0</v>
      </c>
      <c r="K119" s="33"/>
      <c r="L119" s="19"/>
      <c r="M119" s="151"/>
    </row>
    <row r="120" spans="1:13" x14ac:dyDescent="0.25">
      <c r="A120" s="51"/>
      <c r="B120" s="11" t="s">
        <v>156</v>
      </c>
      <c r="C120" s="54"/>
      <c r="D120" s="21"/>
      <c r="E120" s="21"/>
      <c r="F120" s="21"/>
      <c r="G120" s="21"/>
      <c r="H120" s="21"/>
      <c r="I120" s="21"/>
      <c r="J120" s="21"/>
      <c r="K120" s="33"/>
      <c r="L120" s="19"/>
      <c r="M120" s="151"/>
    </row>
    <row r="121" spans="1:13" ht="27" x14ac:dyDescent="0.25">
      <c r="A121" s="51">
        <v>4541</v>
      </c>
      <c r="B121" s="70" t="s">
        <v>456</v>
      </c>
      <c r="C121" s="54" t="s">
        <v>70</v>
      </c>
      <c r="D121" s="21"/>
      <c r="E121" s="199"/>
      <c r="F121" s="21" t="s">
        <v>1</v>
      </c>
      <c r="G121" s="21"/>
      <c r="H121" s="21"/>
      <c r="I121" s="21"/>
      <c r="J121" s="21"/>
      <c r="K121" s="33"/>
      <c r="L121" s="19"/>
      <c r="M121" s="151"/>
    </row>
    <row r="122" spans="1:13" ht="27" x14ac:dyDescent="0.25">
      <c r="A122" s="51">
        <v>4542</v>
      </c>
      <c r="B122" s="70" t="s">
        <v>457</v>
      </c>
      <c r="C122" s="54" t="s">
        <v>71</v>
      </c>
      <c r="D122" s="21"/>
      <c r="E122" s="199"/>
      <c r="F122" s="21" t="s">
        <v>1</v>
      </c>
      <c r="G122" s="21"/>
      <c r="H122" s="21"/>
      <c r="I122" s="21"/>
      <c r="J122" s="21"/>
      <c r="K122" s="33"/>
      <c r="L122" s="19"/>
      <c r="M122" s="151"/>
    </row>
    <row r="123" spans="1:13" ht="27" x14ac:dyDescent="0.25">
      <c r="A123" s="51">
        <v>4543</v>
      </c>
      <c r="B123" s="70" t="s">
        <v>458</v>
      </c>
      <c r="C123" s="54" t="s">
        <v>72</v>
      </c>
      <c r="D123" s="21"/>
      <c r="E123" s="205"/>
      <c r="F123" s="21" t="s">
        <v>1</v>
      </c>
      <c r="G123" s="21"/>
      <c r="H123" s="21"/>
      <c r="I123" s="21"/>
      <c r="J123" s="21"/>
      <c r="K123" s="33"/>
      <c r="L123" s="19"/>
      <c r="M123" s="151"/>
    </row>
    <row r="124" spans="1:13" x14ac:dyDescent="0.25">
      <c r="A124" s="51"/>
      <c r="B124" s="70" t="s">
        <v>375</v>
      </c>
      <c r="C124" s="54"/>
      <c r="D124" s="21"/>
      <c r="E124" s="21"/>
      <c r="F124" s="21"/>
      <c r="G124" s="21"/>
      <c r="H124" s="21"/>
      <c r="I124" s="21"/>
      <c r="J124" s="21"/>
      <c r="K124" s="33"/>
      <c r="L124" s="19"/>
      <c r="M124" s="151"/>
    </row>
    <row r="125" spans="1:13" ht="27" x14ac:dyDescent="0.25">
      <c r="A125" s="51">
        <v>4544</v>
      </c>
      <c r="B125" s="70" t="s">
        <v>459</v>
      </c>
      <c r="C125" s="54"/>
      <c r="D125" s="21">
        <f>SUM(D127:D127)</f>
        <v>0</v>
      </c>
      <c r="E125" s="205">
        <f>E127+E128+E129</f>
        <v>0</v>
      </c>
      <c r="F125" s="21" t="s">
        <v>1</v>
      </c>
      <c r="G125" s="21">
        <f>SUM(G127:G127)</f>
        <v>0</v>
      </c>
      <c r="H125" s="21">
        <f>SUM(H127:H127)</f>
        <v>0</v>
      </c>
      <c r="I125" s="21">
        <f>SUM(I127:I127)</f>
        <v>0</v>
      </c>
      <c r="J125" s="21">
        <f>SUM(J127:J127)</f>
        <v>0</v>
      </c>
      <c r="K125" s="33"/>
      <c r="L125" s="19"/>
      <c r="M125" s="151"/>
    </row>
    <row r="126" spans="1:13" x14ac:dyDescent="0.25">
      <c r="A126" s="51"/>
      <c r="B126" s="70" t="s">
        <v>451</v>
      </c>
      <c r="C126" s="54"/>
      <c r="D126" s="21"/>
      <c r="E126" s="199"/>
      <c r="F126" s="21" t="s">
        <v>1</v>
      </c>
      <c r="G126" s="21"/>
      <c r="H126" s="21"/>
      <c r="I126" s="21"/>
      <c r="J126" s="21"/>
      <c r="K126" s="33"/>
      <c r="L126" s="19"/>
      <c r="M126" s="151"/>
    </row>
    <row r="127" spans="1:13" x14ac:dyDescent="0.25">
      <c r="A127" s="51">
        <v>4546</v>
      </c>
      <c r="B127" s="70" t="s">
        <v>460</v>
      </c>
      <c r="C127" s="54"/>
      <c r="D127" s="21">
        <f>SUM(E127:F127)</f>
        <v>0</v>
      </c>
      <c r="E127" s="199"/>
      <c r="F127" s="21" t="s">
        <v>1</v>
      </c>
      <c r="G127" s="21"/>
      <c r="H127" s="21"/>
      <c r="I127" s="21"/>
      <c r="J127" s="21"/>
      <c r="K127" s="33"/>
      <c r="L127" s="19"/>
      <c r="M127" s="151"/>
    </row>
    <row r="128" spans="1:13" x14ac:dyDescent="0.25">
      <c r="A128" s="51">
        <v>4547</v>
      </c>
      <c r="B128" s="70" t="s">
        <v>453</v>
      </c>
      <c r="C128" s="54"/>
      <c r="D128" s="21">
        <f>SUM(E128:F128)</f>
        <v>0</v>
      </c>
      <c r="E128" s="199"/>
      <c r="F128" s="21" t="s">
        <v>1</v>
      </c>
      <c r="G128" s="21"/>
      <c r="H128" s="21"/>
      <c r="I128" s="21"/>
      <c r="J128" s="21"/>
      <c r="K128" s="33"/>
      <c r="L128" s="19"/>
      <c r="M128" s="151"/>
    </row>
    <row r="129" spans="1:13" x14ac:dyDescent="0.25">
      <c r="A129" s="51">
        <v>4548</v>
      </c>
      <c r="B129" s="70" t="s">
        <v>454</v>
      </c>
      <c r="C129" s="54"/>
      <c r="D129" s="21">
        <f>SUM(E129:F129)</f>
        <v>0</v>
      </c>
      <c r="E129" s="199"/>
      <c r="F129" s="21" t="s">
        <v>1</v>
      </c>
      <c r="G129" s="21"/>
      <c r="H129" s="21"/>
      <c r="I129" s="21"/>
      <c r="J129" s="21"/>
      <c r="K129" s="33"/>
      <c r="L129" s="19"/>
      <c r="M129" s="151"/>
    </row>
    <row r="130" spans="1:13" ht="27" x14ac:dyDescent="0.25">
      <c r="A130" s="51">
        <v>4600</v>
      </c>
      <c r="B130" s="9" t="s">
        <v>461</v>
      </c>
      <c r="C130" s="54" t="s">
        <v>19</v>
      </c>
      <c r="D130" s="21">
        <f>SUM(D132,D136,D142)</f>
        <v>214839.7</v>
      </c>
      <c r="E130" s="21">
        <f>SUM(E132,E136,E142)</f>
        <v>214839.7</v>
      </c>
      <c r="F130" s="21" t="s">
        <v>0</v>
      </c>
      <c r="G130" s="21">
        <f>SUM(G132,G136,G142)</f>
        <v>38433.271428571432</v>
      </c>
      <c r="H130" s="21">
        <f>SUM(H132,H136,H142)</f>
        <v>83212.985714285707</v>
      </c>
      <c r="I130" s="21">
        <f>SUM(I132,I136,I142)</f>
        <v>141318.21428571429</v>
      </c>
      <c r="J130" s="21">
        <f>SUM(J132,J136,J142)</f>
        <v>214839.7</v>
      </c>
      <c r="K130" s="33"/>
      <c r="L130" s="19"/>
      <c r="M130" s="151"/>
    </row>
    <row r="131" spans="1:13" x14ac:dyDescent="0.25">
      <c r="A131" s="51"/>
      <c r="B131" s="11" t="s">
        <v>375</v>
      </c>
      <c r="C131" s="52"/>
      <c r="D131" s="21"/>
      <c r="E131" s="21"/>
      <c r="F131" s="21"/>
      <c r="G131" s="21"/>
      <c r="H131" s="21"/>
      <c r="I131" s="21"/>
      <c r="J131" s="21"/>
      <c r="K131" s="33"/>
      <c r="L131" s="19"/>
      <c r="M131" s="151"/>
    </row>
    <row r="132" spans="1:13" x14ac:dyDescent="0.25">
      <c r="A132" s="51">
        <v>4610</v>
      </c>
      <c r="B132" s="11" t="s">
        <v>462</v>
      </c>
      <c r="C132" s="52"/>
      <c r="D132" s="21">
        <f>SUM(D134:D135)</f>
        <v>0</v>
      </c>
      <c r="E132" s="21">
        <f>SUM(E134:E135)</f>
        <v>0</v>
      </c>
      <c r="F132" s="21" t="s">
        <v>0</v>
      </c>
      <c r="G132" s="21">
        <f>SUM(G134:G135)</f>
        <v>0</v>
      </c>
      <c r="H132" s="21">
        <f>SUM(H134:H135)</f>
        <v>0</v>
      </c>
      <c r="I132" s="21">
        <f>SUM(I134:I135)</f>
        <v>0</v>
      </c>
      <c r="J132" s="21">
        <f>SUM(J134:J135)</f>
        <v>0</v>
      </c>
      <c r="K132" s="33"/>
      <c r="L132" s="19"/>
      <c r="M132" s="151"/>
    </row>
    <row r="133" spans="1:13" x14ac:dyDescent="0.25">
      <c r="A133" s="51"/>
      <c r="B133" s="11" t="s">
        <v>375</v>
      </c>
      <c r="C133" s="52"/>
      <c r="D133" s="21"/>
      <c r="E133" s="21"/>
      <c r="F133" s="21"/>
      <c r="G133" s="21"/>
      <c r="H133" s="21"/>
      <c r="I133" s="21"/>
      <c r="J133" s="21"/>
      <c r="K133" s="33"/>
      <c r="L133" s="19"/>
      <c r="M133" s="151"/>
    </row>
    <row r="134" spans="1:13" ht="36" customHeight="1" x14ac:dyDescent="0.25">
      <c r="A134" s="51">
        <v>4610</v>
      </c>
      <c r="B134" s="14" t="s">
        <v>463</v>
      </c>
      <c r="C134" s="52" t="s">
        <v>73</v>
      </c>
      <c r="D134" s="21"/>
      <c r="E134" s="21"/>
      <c r="F134" s="21" t="s">
        <v>1</v>
      </c>
      <c r="G134" s="21"/>
      <c r="H134" s="21"/>
      <c r="I134" s="21"/>
      <c r="J134" s="21"/>
      <c r="K134" s="33"/>
      <c r="L134" s="19"/>
      <c r="M134" s="151"/>
    </row>
    <row r="135" spans="1:13" ht="33.75" customHeight="1" x14ac:dyDescent="0.25">
      <c r="A135" s="51">
        <v>4620</v>
      </c>
      <c r="B135" s="14" t="s">
        <v>464</v>
      </c>
      <c r="C135" s="52" t="s">
        <v>74</v>
      </c>
      <c r="D135" s="21"/>
      <c r="E135" s="21"/>
      <c r="F135" s="21" t="s">
        <v>1</v>
      </c>
      <c r="G135" s="21"/>
      <c r="H135" s="21"/>
      <c r="I135" s="21"/>
      <c r="J135" s="21"/>
      <c r="K135" s="33"/>
      <c r="L135" s="19"/>
      <c r="M135" s="151"/>
    </row>
    <row r="136" spans="1:13" ht="46.5" customHeight="1" x14ac:dyDescent="0.25">
      <c r="A136" s="51">
        <v>4630</v>
      </c>
      <c r="B136" s="9" t="s">
        <v>465</v>
      </c>
      <c r="C136" s="54" t="s">
        <v>19</v>
      </c>
      <c r="D136" s="21">
        <f>SUM(D138:D141)</f>
        <v>214839.7</v>
      </c>
      <c r="E136" s="21">
        <f>SUM(E138:E141)</f>
        <v>214839.7</v>
      </c>
      <c r="F136" s="21" t="s">
        <v>1</v>
      </c>
      <c r="G136" s="21">
        <f>SUM(G138:G141)</f>
        <v>38433.271428571432</v>
      </c>
      <c r="H136" s="21">
        <f>SUM(H138:H141)</f>
        <v>83212.985714285707</v>
      </c>
      <c r="I136" s="21">
        <f>SUM(I138:I141)</f>
        <v>141318.21428571429</v>
      </c>
      <c r="J136" s="21">
        <f>SUM(J138:J141)</f>
        <v>214839.7</v>
      </c>
      <c r="K136" s="33"/>
      <c r="L136" s="19"/>
      <c r="M136" s="151"/>
    </row>
    <row r="137" spans="1:13" x14ac:dyDescent="0.25">
      <c r="A137" s="51"/>
      <c r="B137" s="11" t="s">
        <v>156</v>
      </c>
      <c r="C137" s="54"/>
      <c r="D137" s="21"/>
      <c r="E137" s="21"/>
      <c r="F137" s="21"/>
      <c r="G137" s="21"/>
      <c r="H137" s="21"/>
      <c r="I137" s="21"/>
      <c r="J137" s="21"/>
      <c r="K137" s="33"/>
      <c r="L137" s="19"/>
      <c r="M137" s="151"/>
    </row>
    <row r="138" spans="1:13" x14ac:dyDescent="0.25">
      <c r="A138" s="51">
        <v>4631</v>
      </c>
      <c r="B138" s="9" t="s">
        <v>466</v>
      </c>
      <c r="C138" s="54" t="s">
        <v>75</v>
      </c>
      <c r="D138" s="21"/>
      <c r="E138" s="21"/>
      <c r="F138" s="21" t="s">
        <v>1</v>
      </c>
      <c r="G138" s="21"/>
      <c r="H138" s="21"/>
      <c r="I138" s="21"/>
      <c r="J138" s="21"/>
      <c r="K138" s="33"/>
      <c r="L138" s="19"/>
      <c r="M138" s="151"/>
    </row>
    <row r="139" spans="1:13" ht="27" x14ac:dyDescent="0.25">
      <c r="A139" s="51">
        <v>4632</v>
      </c>
      <c r="B139" s="9" t="s">
        <v>467</v>
      </c>
      <c r="C139" s="54" t="s">
        <v>76</v>
      </c>
      <c r="D139" s="21">
        <f>+'4.Gorcarakan ev tntesagitakan'!H550+'4.Gorcarakan ev tntesagitakan'!H570+'4.Gorcarakan ev tntesagitakan'!H633</f>
        <v>12876</v>
      </c>
      <c r="E139" s="21">
        <f>+'4.Gorcarakan ev tntesagitakan'!I550+'4.Gorcarakan ev tntesagitakan'!I570+'4.Gorcarakan ev tntesagitakan'!I633</f>
        <v>12876</v>
      </c>
      <c r="F139" s="21" t="s">
        <v>1</v>
      </c>
      <c r="G139" s="21">
        <f>+'4.Gorcarakan ev tntesagitakan'!K550+'4.Gorcarakan ev tntesagitakan'!K570+'4.Gorcarakan ev tntesagitakan'!K633</f>
        <v>3065.7142857142862</v>
      </c>
      <c r="H139" s="21">
        <f>+'4.Gorcarakan ev tntesagitakan'!L550+'4.Gorcarakan ev tntesagitakan'!L570+'4.Gorcarakan ev tntesagitakan'!L633</f>
        <v>6182.5238095238101</v>
      </c>
      <c r="I139" s="21">
        <f>+'4.Gorcarakan ev tntesagitakan'!M550+'4.Gorcarakan ev tntesagitakan'!M570+'4.Gorcarakan ev tntesagitakan'!M633</f>
        <v>9554.8095238095248</v>
      </c>
      <c r="J139" s="21">
        <f>+'4.Gorcarakan ev tntesagitakan'!N550+'4.Gorcarakan ev tntesagitakan'!N570+'4.Gorcarakan ev tntesagitakan'!N633</f>
        <v>12876</v>
      </c>
      <c r="K139" s="33"/>
      <c r="L139" s="19"/>
      <c r="M139" s="151"/>
    </row>
    <row r="140" spans="1:13" x14ac:dyDescent="0.25">
      <c r="A140" s="51">
        <v>4633</v>
      </c>
      <c r="B140" s="9" t="s">
        <v>468</v>
      </c>
      <c r="C140" s="54" t="s">
        <v>77</v>
      </c>
      <c r="D140" s="21">
        <f>+'4.Gorcarakan ev tntesagitakan'!H739</f>
        <v>1200</v>
      </c>
      <c r="E140" s="21">
        <f>+'4.Gorcarakan ev tntesagitakan'!I739</f>
        <v>1200</v>
      </c>
      <c r="F140" s="21" t="s">
        <v>1</v>
      </c>
      <c r="G140" s="21">
        <f>+'4.Gorcarakan ev tntesagitakan'!K739</f>
        <v>285.71428571428572</v>
      </c>
      <c r="H140" s="21">
        <f>+'4.Gorcarakan ev tntesagitakan'!L739</f>
        <v>576.19047619047615</v>
      </c>
      <c r="I140" s="21">
        <f>+'4.Gorcarakan ev tntesagitakan'!M739</f>
        <v>890.47619047619048</v>
      </c>
      <c r="J140" s="21">
        <f>+'4.Gorcarakan ev tntesagitakan'!N739</f>
        <v>1200</v>
      </c>
      <c r="K140" s="33"/>
      <c r="L140" s="19"/>
      <c r="M140" s="151"/>
    </row>
    <row r="141" spans="1:13" x14ac:dyDescent="0.25">
      <c r="A141" s="51">
        <v>4634</v>
      </c>
      <c r="B141" s="9" t="s">
        <v>469</v>
      </c>
      <c r="C141" s="54" t="s">
        <v>141</v>
      </c>
      <c r="D141" s="21">
        <f>+'4.Gorcarakan ev tntesagitakan'!H546+'4.Gorcarakan ev tntesagitakan'!H634+'4.Gorcarakan ev tntesagitakan'!H691+'4.Gorcarakan ev tntesagitakan'!H728+'4.Gorcarakan ev tntesagitakan'!H748</f>
        <v>200763.7</v>
      </c>
      <c r="E141" s="21">
        <f>+'4.Gorcarakan ev tntesagitakan'!I546+'4.Gorcarakan ev tntesagitakan'!I634+'4.Gorcarakan ev tntesagitakan'!I691+'4.Gorcarakan ev tntesagitakan'!I728+'4.Gorcarakan ev tntesagitakan'!I748</f>
        <v>200763.7</v>
      </c>
      <c r="F141" s="21" t="s">
        <v>1</v>
      </c>
      <c r="G141" s="21">
        <f>+'4.Gorcarakan ev tntesagitakan'!K546+'4.Gorcarakan ev tntesagitakan'!K634+'4.Gorcarakan ev tntesagitakan'!K691+'4.Gorcarakan ev tntesagitakan'!K728+'4.Gorcarakan ev tntesagitakan'!K748</f>
        <v>35081.842857142859</v>
      </c>
      <c r="H141" s="21">
        <f>+'4.Gorcarakan ev tntesagitakan'!L546+'4.Gorcarakan ev tntesagitakan'!L634+'4.Gorcarakan ev tntesagitakan'!L691+'4.Gorcarakan ev tntesagitakan'!L728+'4.Gorcarakan ev tntesagitakan'!L748</f>
        <v>76454.271428571417</v>
      </c>
      <c r="I141" s="21">
        <f>+'4.Gorcarakan ev tntesagitakan'!M546+'4.Gorcarakan ev tntesagitakan'!M634+'4.Gorcarakan ev tntesagitakan'!M691+'4.Gorcarakan ev tntesagitakan'!M728+'4.Gorcarakan ev tntesagitakan'!M748</f>
        <v>130872.92857142857</v>
      </c>
      <c r="J141" s="21">
        <f>+'4.Gorcarakan ev tntesagitakan'!N546+'4.Gorcarakan ev tntesagitakan'!N634+'4.Gorcarakan ev tntesagitakan'!N691+'4.Gorcarakan ev tntesagitakan'!N728+'4.Gorcarakan ev tntesagitakan'!N748</f>
        <v>200763.7</v>
      </c>
      <c r="K141" s="33"/>
      <c r="L141" s="19"/>
      <c r="M141" s="151"/>
    </row>
    <row r="142" spans="1:13" x14ac:dyDescent="0.25">
      <c r="A142" s="51">
        <v>4640</v>
      </c>
      <c r="B142" s="9" t="s">
        <v>470</v>
      </c>
      <c r="C142" s="54" t="s">
        <v>19</v>
      </c>
      <c r="D142" s="21">
        <f>SUM(D144)</f>
        <v>0</v>
      </c>
      <c r="E142" s="21">
        <f>SUM(E144)</f>
        <v>0</v>
      </c>
      <c r="F142" s="21" t="s">
        <v>1</v>
      </c>
      <c r="G142" s="21">
        <f>SUM(G144)</f>
        <v>0</v>
      </c>
      <c r="H142" s="21">
        <f>SUM(H144)</f>
        <v>0</v>
      </c>
      <c r="I142" s="21">
        <f>SUM(I144)</f>
        <v>0</v>
      </c>
      <c r="J142" s="21">
        <f>SUM(J144)</f>
        <v>0</v>
      </c>
      <c r="K142" s="33"/>
      <c r="L142" s="19"/>
      <c r="M142" s="151"/>
    </row>
    <row r="143" spans="1:13" x14ac:dyDescent="0.25">
      <c r="A143" s="51"/>
      <c r="B143" s="11" t="s">
        <v>156</v>
      </c>
      <c r="C143" s="54"/>
      <c r="D143" s="21"/>
      <c r="E143" s="21"/>
      <c r="F143" s="21"/>
      <c r="G143" s="21"/>
      <c r="H143" s="21"/>
      <c r="I143" s="21"/>
      <c r="J143" s="21"/>
      <c r="K143" s="33"/>
      <c r="L143" s="19"/>
      <c r="M143" s="151"/>
    </row>
    <row r="144" spans="1:13" x14ac:dyDescent="0.25">
      <c r="A144" s="51">
        <v>4641</v>
      </c>
      <c r="B144" s="9" t="s">
        <v>471</v>
      </c>
      <c r="C144" s="54" t="s">
        <v>78</v>
      </c>
      <c r="D144" s="21"/>
      <c r="E144" s="21"/>
      <c r="F144" s="21" t="s">
        <v>0</v>
      </c>
      <c r="G144" s="21">
        <f>+D144/4</f>
        <v>0</v>
      </c>
      <c r="H144" s="21">
        <f>+D144/4*2</f>
        <v>0</v>
      </c>
      <c r="I144" s="21">
        <f>+D144/4*3</f>
        <v>0</v>
      </c>
      <c r="J144" s="21">
        <f>+D144</f>
        <v>0</v>
      </c>
      <c r="K144" s="33"/>
      <c r="L144" s="19"/>
      <c r="M144" s="151"/>
    </row>
    <row r="145" spans="1:13" ht="40.5" x14ac:dyDescent="0.25">
      <c r="A145" s="51">
        <v>4700</v>
      </c>
      <c r="B145" s="9" t="s">
        <v>472</v>
      </c>
      <c r="C145" s="54" t="s">
        <v>19</v>
      </c>
      <c r="D145" s="21">
        <f>SUM(D147,D151,D157,D160,D164,D167,D170)</f>
        <v>347274.29499999998</v>
      </c>
      <c r="E145" s="21">
        <f>SUM(E147,E151,E157,E160,E164,E167,E170)</f>
        <v>1273257.2949999999</v>
      </c>
      <c r="F145" s="21">
        <f>SUM(F147,F151,F157,F160,F164,F167,F170)</f>
        <v>925983</v>
      </c>
      <c r="G145" s="21">
        <f>SUM(G147,G151,G157,G160,G164,G167,)</f>
        <v>78001.786428570995</v>
      </c>
      <c r="H145" s="21">
        <f>SUM(H147,H151,H157,H160,H164,H167,)</f>
        <v>146116.46696428498</v>
      </c>
      <c r="I145" s="21">
        <f>SUM(I147,I151,I157,I160,I164,I167,)</f>
        <v>281973.04819444451</v>
      </c>
      <c r="J145" s="21">
        <f>SUM(J147,J151,J157,J160,J164,J167,)</f>
        <v>347274.29499999998</v>
      </c>
      <c r="K145" s="33"/>
      <c r="L145" s="19"/>
      <c r="M145" s="151"/>
    </row>
    <row r="146" spans="1:13" x14ac:dyDescent="0.25">
      <c r="A146" s="51"/>
      <c r="B146" s="11" t="s">
        <v>375</v>
      </c>
      <c r="C146" s="52"/>
      <c r="D146" s="21"/>
      <c r="E146" s="21"/>
      <c r="F146" s="21"/>
      <c r="G146" s="21"/>
      <c r="H146" s="21"/>
      <c r="I146" s="21"/>
      <c r="J146" s="21"/>
      <c r="K146" s="33"/>
      <c r="L146" s="19"/>
      <c r="M146" s="151"/>
    </row>
    <row r="147" spans="1:13" ht="40.5" x14ac:dyDescent="0.25">
      <c r="A147" s="51">
        <v>4710</v>
      </c>
      <c r="B147" s="9" t="s">
        <v>473</v>
      </c>
      <c r="C147" s="54" t="s">
        <v>19</v>
      </c>
      <c r="D147" s="21">
        <f>SUM(D149:D150)</f>
        <v>217527.05499999999</v>
      </c>
      <c r="E147" s="21">
        <f>SUM(E149:E150)</f>
        <v>217527.05499999999</v>
      </c>
      <c r="F147" s="21" t="s">
        <v>1</v>
      </c>
      <c r="G147" s="21">
        <f>SUM(G149:G150)</f>
        <v>57419.489285713847</v>
      </c>
      <c r="H147" s="21">
        <f>SUM(H149:H150)</f>
        <v>107198.5283928564</v>
      </c>
      <c r="I147" s="21">
        <f>SUM(I149:I150)</f>
        <v>169216.54676587306</v>
      </c>
      <c r="J147" s="21">
        <f>SUM(J149:J150)</f>
        <v>217527.05499999999</v>
      </c>
      <c r="K147" s="33"/>
      <c r="L147" s="19"/>
      <c r="M147" s="151"/>
    </row>
    <row r="148" spans="1:13" x14ac:dyDescent="0.25">
      <c r="A148" s="51"/>
      <c r="B148" s="11" t="s">
        <v>156</v>
      </c>
      <c r="C148" s="54"/>
      <c r="D148" s="21"/>
      <c r="E148" s="21"/>
      <c r="F148" s="21"/>
      <c r="G148" s="21"/>
      <c r="H148" s="21"/>
      <c r="I148" s="21"/>
      <c r="J148" s="21"/>
      <c r="K148" s="33"/>
      <c r="L148" s="19"/>
      <c r="M148" s="151"/>
    </row>
    <row r="149" spans="1:13" ht="40.5" x14ac:dyDescent="0.25">
      <c r="A149" s="51">
        <v>4711</v>
      </c>
      <c r="B149" s="9" t="s">
        <v>474</v>
      </c>
      <c r="C149" s="54" t="s">
        <v>79</v>
      </c>
      <c r="D149" s="21"/>
      <c r="E149" s="21"/>
      <c r="F149" s="21" t="s">
        <v>1</v>
      </c>
      <c r="G149" s="21">
        <f>+D149/4</f>
        <v>0</v>
      </c>
      <c r="H149" s="21">
        <f>+D149/4*2</f>
        <v>0</v>
      </c>
      <c r="I149" s="21">
        <f>+D149/4*3</f>
        <v>0</v>
      </c>
      <c r="J149" s="21">
        <f>+D149</f>
        <v>0</v>
      </c>
      <c r="K149" s="33"/>
      <c r="L149" s="19"/>
      <c r="M149" s="151"/>
    </row>
    <row r="150" spans="1:13" ht="27" x14ac:dyDescent="0.25">
      <c r="A150" s="51">
        <v>4712</v>
      </c>
      <c r="B150" s="9" t="s">
        <v>475</v>
      </c>
      <c r="C150" s="54" t="s">
        <v>80</v>
      </c>
      <c r="D150" s="21">
        <f>+'4.Gorcarakan ev tntesagitakan'!H547+'4.Gorcarakan ev tntesagitakan'!H558+'4.Gorcarakan ev tntesagitakan'!H562+'4.Gorcarakan ev tntesagitakan'!H568+'4.Gorcarakan ev tntesagitakan'!H611+'4.Gorcarakan ev tntesagitakan'!H613+'4.Gorcarakan ev tntesagitakan'!H632+'4.Gorcarakan ev tntesagitakan'!H690+'4.Gorcarakan ev tntesagitakan'!H741+'4.Gorcarakan ev tntesagitakan'!H749</f>
        <v>217527.05499999999</v>
      </c>
      <c r="E150" s="21">
        <f>+'4.Gorcarakan ev tntesagitakan'!I547+'4.Gorcarakan ev tntesagitakan'!I558+'4.Gorcarakan ev tntesagitakan'!I562+'4.Gorcarakan ev tntesagitakan'!I568+'4.Gorcarakan ev tntesagitakan'!I611+'4.Gorcarakan ev tntesagitakan'!I613+'4.Gorcarakan ev tntesagitakan'!I632+'4.Gorcarakan ev tntesagitakan'!I690+'4.Gorcarakan ev tntesagitakan'!I741+'4.Gorcarakan ev tntesagitakan'!I749</f>
        <v>217527.05499999999</v>
      </c>
      <c r="F150" s="21">
        <f>+'4.Gorcarakan ev tntesagitakan'!J547+'4.Gorcarakan ev tntesagitakan'!J558+'4.Gorcarakan ev tntesagitakan'!J562+'4.Gorcarakan ev tntesagitakan'!J568+'4.Gorcarakan ev tntesagitakan'!J611+'4.Gorcarakan ev tntesagitakan'!J613+'4.Gorcarakan ev tntesagitakan'!J632+'4.Gorcarakan ev tntesagitakan'!J690+'4.Gorcarakan ev tntesagitakan'!J741+'4.Gorcarakan ev tntesagitakan'!J749</f>
        <v>0</v>
      </c>
      <c r="G150" s="21">
        <f>+'4.Gorcarakan ev tntesagitakan'!K547+'4.Gorcarakan ev tntesagitakan'!K558+'4.Gorcarakan ev tntesagitakan'!K562+'4.Gorcarakan ev tntesagitakan'!K568+'4.Gorcarakan ev tntesagitakan'!K611+'4.Gorcarakan ev tntesagitakan'!K613+'4.Gorcarakan ev tntesagitakan'!K632+'4.Gorcarakan ev tntesagitakan'!K690+'4.Gorcarakan ev tntesagitakan'!K741+'4.Gorcarakan ev tntesagitakan'!K749</f>
        <v>57419.489285713847</v>
      </c>
      <c r="H150" s="21">
        <f>+'4.Gorcarakan ev tntesagitakan'!L547+'4.Gorcarakan ev tntesagitakan'!L558+'4.Gorcarakan ev tntesagitakan'!L562+'4.Gorcarakan ev tntesagitakan'!L568+'4.Gorcarakan ev tntesagitakan'!L611+'4.Gorcarakan ev tntesagitakan'!L613+'4.Gorcarakan ev tntesagitakan'!L632+'4.Gorcarakan ev tntesagitakan'!L690+'4.Gorcarakan ev tntesagitakan'!L741+'4.Gorcarakan ev tntesagitakan'!L749</f>
        <v>107198.5283928564</v>
      </c>
      <c r="I150" s="21">
        <f>+'4.Gorcarakan ev tntesagitakan'!M547+'4.Gorcarakan ev tntesagitakan'!M558+'4.Gorcarakan ev tntesagitakan'!M562+'4.Gorcarakan ev tntesagitakan'!M568+'4.Gorcarakan ev tntesagitakan'!M611+'4.Gorcarakan ev tntesagitakan'!M613+'4.Gorcarakan ev tntesagitakan'!M632+'4.Gorcarakan ev tntesagitakan'!M690+'4.Gorcarakan ev tntesagitakan'!M741+'4.Gorcarakan ev tntesagitakan'!M749</f>
        <v>169216.54676587306</v>
      </c>
      <c r="J150" s="21">
        <f>+'4.Gorcarakan ev tntesagitakan'!N547+'4.Gorcarakan ev tntesagitakan'!N558+'4.Gorcarakan ev tntesagitakan'!N562+'4.Gorcarakan ev tntesagitakan'!N568+'4.Gorcarakan ev tntesagitakan'!N611+'4.Gorcarakan ev tntesagitakan'!N613+'4.Gorcarakan ev tntesagitakan'!N632+'4.Gorcarakan ev tntesagitakan'!N690+'4.Gorcarakan ev tntesagitakan'!N741+'4.Gorcarakan ev tntesagitakan'!N749</f>
        <v>217527.05499999999</v>
      </c>
      <c r="K150" s="33"/>
      <c r="L150" s="19"/>
      <c r="M150" s="151"/>
    </row>
    <row r="151" spans="1:13" ht="61.5" customHeight="1" x14ac:dyDescent="0.25">
      <c r="A151" s="51">
        <v>4720</v>
      </c>
      <c r="B151" s="9" t="s">
        <v>476</v>
      </c>
      <c r="C151" s="54" t="s">
        <v>19</v>
      </c>
      <c r="D151" s="21">
        <f>SUM(D153:D156)</f>
        <v>90546</v>
      </c>
      <c r="E151" s="21">
        <f>SUM(E153:E156)</f>
        <v>90546</v>
      </c>
      <c r="F151" s="21" t="s">
        <v>1</v>
      </c>
      <c r="G151" s="21">
        <f>SUM(G153:G156)</f>
        <v>9047.4285714285725</v>
      </c>
      <c r="H151" s="21">
        <f>SUM(H153:H156)</f>
        <v>17893.880952380954</v>
      </c>
      <c r="I151" s="21">
        <f>SUM(I153:I156)</f>
        <v>81465.452380952425</v>
      </c>
      <c r="J151" s="21">
        <f>SUM(J153:J156)</f>
        <v>90546</v>
      </c>
      <c r="K151" s="33"/>
      <c r="L151" s="19"/>
      <c r="M151" s="151"/>
    </row>
    <row r="152" spans="1:13" x14ac:dyDescent="0.25">
      <c r="A152" s="51"/>
      <c r="B152" s="11" t="s">
        <v>156</v>
      </c>
      <c r="C152" s="54"/>
      <c r="D152" s="21"/>
      <c r="E152" s="21"/>
      <c r="F152" s="21"/>
      <c r="G152" s="21"/>
      <c r="H152" s="21"/>
      <c r="I152" s="21"/>
      <c r="J152" s="21"/>
      <c r="K152" s="33"/>
      <c r="L152" s="19"/>
      <c r="M152" s="151"/>
    </row>
    <row r="153" spans="1:13" x14ac:dyDescent="0.25">
      <c r="A153" s="51">
        <v>4721</v>
      </c>
      <c r="B153" s="9" t="s">
        <v>477</v>
      </c>
      <c r="C153" s="54" t="s">
        <v>81</v>
      </c>
      <c r="D153" s="21"/>
      <c r="E153" s="21"/>
      <c r="F153" s="21" t="s">
        <v>1</v>
      </c>
      <c r="G153" s="21"/>
      <c r="H153" s="21"/>
      <c r="I153" s="21"/>
      <c r="J153" s="21"/>
      <c r="K153" s="33"/>
      <c r="L153" s="19"/>
      <c r="M153" s="151"/>
    </row>
    <row r="154" spans="1:13" x14ac:dyDescent="0.25">
      <c r="A154" s="51">
        <v>4722</v>
      </c>
      <c r="B154" s="9" t="s">
        <v>478</v>
      </c>
      <c r="C154" s="54" t="s">
        <v>82</v>
      </c>
      <c r="D154" s="21">
        <f>+'4.Gorcarakan ev tntesagitakan'!H37+'4.Gorcarakan ev tntesagitakan'!H102+'4.Gorcarakan ev tntesagitakan'!H359</f>
        <v>90546</v>
      </c>
      <c r="E154" s="21">
        <f>+'4.Gorcarakan ev tntesagitakan'!I37+'4.Gorcarakan ev tntesagitakan'!I102+'4.Gorcarakan ev tntesagitakan'!I359</f>
        <v>90546</v>
      </c>
      <c r="F154" s="21">
        <f>+'4.Gorcarakan ev tntesagitakan'!J102+'4.Gorcarakan ev tntesagitakan'!J37</f>
        <v>0</v>
      </c>
      <c r="G154" s="21">
        <f>+'4.Gorcarakan ev tntesagitakan'!K37+'4.Gorcarakan ev tntesagitakan'!K102+'4.Gorcarakan ev tntesagitakan'!K359</f>
        <v>9047.4285714285725</v>
      </c>
      <c r="H154" s="21">
        <f>+'4.Gorcarakan ev tntesagitakan'!L37+'4.Gorcarakan ev tntesagitakan'!L102+'4.Gorcarakan ev tntesagitakan'!L359</f>
        <v>17893.880952380954</v>
      </c>
      <c r="I154" s="21">
        <f>+'4.Gorcarakan ev tntesagitakan'!M37+'4.Gorcarakan ev tntesagitakan'!M102+'4.Gorcarakan ev tntesagitakan'!M359</f>
        <v>81465.452380952425</v>
      </c>
      <c r="J154" s="21">
        <f>+'4.Gorcarakan ev tntesagitakan'!N37+'4.Gorcarakan ev tntesagitakan'!N102+'4.Gorcarakan ev tntesagitakan'!N359</f>
        <v>90546</v>
      </c>
      <c r="K154" s="33"/>
      <c r="L154" s="19"/>
      <c r="M154" s="151"/>
    </row>
    <row r="155" spans="1:13" x14ac:dyDescent="0.25">
      <c r="A155" s="51">
        <v>4723</v>
      </c>
      <c r="B155" s="9" t="s">
        <v>479</v>
      </c>
      <c r="C155" s="6">
        <v>4822</v>
      </c>
      <c r="D155" s="21"/>
      <c r="E155" s="21"/>
      <c r="F155" s="21" t="s">
        <v>1</v>
      </c>
      <c r="G155" s="21"/>
      <c r="H155" s="21"/>
      <c r="I155" s="21"/>
      <c r="J155" s="21"/>
      <c r="K155" s="33"/>
      <c r="L155" s="19"/>
      <c r="M155" s="151"/>
    </row>
    <row r="156" spans="1:13" ht="27" x14ac:dyDescent="0.25">
      <c r="A156" s="51">
        <v>4724</v>
      </c>
      <c r="B156" s="9" t="s">
        <v>480</v>
      </c>
      <c r="C156" s="54" t="s">
        <v>83</v>
      </c>
      <c r="D156" s="21"/>
      <c r="E156" s="21"/>
      <c r="F156" s="21" t="s">
        <v>1</v>
      </c>
      <c r="G156" s="21"/>
      <c r="H156" s="21"/>
      <c r="I156" s="21"/>
      <c r="J156" s="21"/>
      <c r="K156" s="33"/>
      <c r="L156" s="19"/>
      <c r="M156" s="151"/>
    </row>
    <row r="157" spans="1:13" ht="27" x14ac:dyDescent="0.25">
      <c r="A157" s="51">
        <v>4730</v>
      </c>
      <c r="B157" s="9" t="s">
        <v>481</v>
      </c>
      <c r="C157" s="54" t="s">
        <v>19</v>
      </c>
      <c r="D157" s="21">
        <f>SUM(D159)</f>
        <v>0</v>
      </c>
      <c r="E157" s="21">
        <f>SUM(E159)</f>
        <v>0</v>
      </c>
      <c r="F157" s="21" t="s">
        <v>1</v>
      </c>
      <c r="G157" s="21">
        <f>SUM(G159)</f>
        <v>0</v>
      </c>
      <c r="H157" s="21">
        <f>SUM(H159)</f>
        <v>0</v>
      </c>
      <c r="I157" s="21">
        <f>SUM(I159)</f>
        <v>0</v>
      </c>
      <c r="J157" s="21">
        <f>SUM(J159)</f>
        <v>0</v>
      </c>
      <c r="K157" s="33"/>
      <c r="L157" s="19"/>
      <c r="M157" s="151"/>
    </row>
    <row r="158" spans="1:13" x14ac:dyDescent="0.25">
      <c r="A158" s="51"/>
      <c r="B158" s="11" t="s">
        <v>156</v>
      </c>
      <c r="C158" s="54"/>
      <c r="D158" s="21"/>
      <c r="E158" s="21"/>
      <c r="F158" s="21"/>
      <c r="G158" s="21"/>
      <c r="H158" s="21"/>
      <c r="I158" s="21"/>
      <c r="J158" s="21"/>
      <c r="K158" s="33"/>
      <c r="L158" s="19"/>
      <c r="M158" s="151"/>
    </row>
    <row r="159" spans="1:13" ht="27" x14ac:dyDescent="0.25">
      <c r="A159" s="51">
        <v>4731</v>
      </c>
      <c r="B159" s="9" t="s">
        <v>482</v>
      </c>
      <c r="C159" s="54" t="s">
        <v>84</v>
      </c>
      <c r="D159" s="21"/>
      <c r="E159" s="21"/>
      <c r="F159" s="21" t="s">
        <v>1</v>
      </c>
      <c r="G159" s="21"/>
      <c r="H159" s="21"/>
      <c r="I159" s="21"/>
      <c r="J159" s="21"/>
      <c r="K159" s="33"/>
      <c r="L159" s="19"/>
      <c r="M159" s="151"/>
    </row>
    <row r="160" spans="1:13" ht="40.5" x14ac:dyDescent="0.25">
      <c r="A160" s="51">
        <v>4740</v>
      </c>
      <c r="B160" s="9" t="s">
        <v>483</v>
      </c>
      <c r="C160" s="54" t="s">
        <v>19</v>
      </c>
      <c r="D160" s="21">
        <f>SUM(D162:D163)</f>
        <v>0</v>
      </c>
      <c r="E160" s="21">
        <f>SUM(E162:E163)</f>
        <v>0</v>
      </c>
      <c r="F160" s="21" t="s">
        <v>1</v>
      </c>
      <c r="G160" s="21">
        <f>SUM(G162:G163)</f>
        <v>0</v>
      </c>
      <c r="H160" s="21">
        <f>SUM(H162:H163)</f>
        <v>0</v>
      </c>
      <c r="I160" s="21">
        <f>SUM(I162:I163)</f>
        <v>0</v>
      </c>
      <c r="J160" s="21">
        <f>SUM(J162:J163)</f>
        <v>0</v>
      </c>
      <c r="K160" s="33"/>
      <c r="L160" s="19"/>
      <c r="M160" s="151"/>
    </row>
    <row r="161" spans="1:13" x14ac:dyDescent="0.25">
      <c r="A161" s="51"/>
      <c r="B161" s="11" t="s">
        <v>156</v>
      </c>
      <c r="C161" s="54"/>
      <c r="D161" s="21"/>
      <c r="E161" s="21"/>
      <c r="F161" s="21"/>
      <c r="G161" s="21"/>
      <c r="H161" s="21"/>
      <c r="I161" s="21"/>
      <c r="J161" s="21"/>
      <c r="K161" s="33"/>
      <c r="L161" s="19"/>
      <c r="M161" s="151"/>
    </row>
    <row r="162" spans="1:13" ht="27" x14ac:dyDescent="0.25">
      <c r="A162" s="51">
        <v>4741</v>
      </c>
      <c r="B162" s="9" t="s">
        <v>484</v>
      </c>
      <c r="C162" s="54" t="s">
        <v>85</v>
      </c>
      <c r="D162" s="21"/>
      <c r="E162" s="21"/>
      <c r="F162" s="21" t="s">
        <v>1</v>
      </c>
      <c r="G162" s="21"/>
      <c r="H162" s="21"/>
      <c r="I162" s="21"/>
      <c r="J162" s="21"/>
      <c r="K162" s="33"/>
      <c r="L162" s="19"/>
      <c r="M162" s="151"/>
    </row>
    <row r="163" spans="1:13" ht="27" x14ac:dyDescent="0.25">
      <c r="A163" s="51">
        <v>4742</v>
      </c>
      <c r="B163" s="9" t="s">
        <v>485</v>
      </c>
      <c r="C163" s="54" t="s">
        <v>86</v>
      </c>
      <c r="D163" s="21"/>
      <c r="E163" s="21"/>
      <c r="F163" s="21" t="s">
        <v>1</v>
      </c>
      <c r="G163" s="21"/>
      <c r="H163" s="21"/>
      <c r="I163" s="21"/>
      <c r="J163" s="21"/>
      <c r="K163" s="33"/>
      <c r="L163" s="19"/>
      <c r="M163" s="151"/>
    </row>
    <row r="164" spans="1:13" ht="40.5" x14ac:dyDescent="0.25">
      <c r="A164" s="51">
        <v>4750</v>
      </c>
      <c r="B164" s="9" t="s">
        <v>486</v>
      </c>
      <c r="C164" s="54" t="s">
        <v>19</v>
      </c>
      <c r="D164" s="21">
        <f>SUM(D166)</f>
        <v>0</v>
      </c>
      <c r="E164" s="21">
        <f>SUM(E166)</f>
        <v>0</v>
      </c>
      <c r="F164" s="21" t="s">
        <v>1</v>
      </c>
      <c r="G164" s="21">
        <f>SUM(G166)</f>
        <v>0</v>
      </c>
      <c r="H164" s="21">
        <f>SUM(H166)</f>
        <v>0</v>
      </c>
      <c r="I164" s="21">
        <f>SUM(I166)</f>
        <v>0</v>
      </c>
      <c r="J164" s="21">
        <f>SUM(J166)</f>
        <v>0</v>
      </c>
      <c r="K164" s="33"/>
      <c r="L164" s="19"/>
      <c r="M164" s="151"/>
    </row>
    <row r="165" spans="1:13" x14ac:dyDescent="0.25">
      <c r="A165" s="51"/>
      <c r="B165" s="11" t="s">
        <v>156</v>
      </c>
      <c r="C165" s="54"/>
      <c r="D165" s="21"/>
      <c r="E165" s="21"/>
      <c r="F165" s="21"/>
      <c r="G165" s="21"/>
      <c r="H165" s="21"/>
      <c r="I165" s="21"/>
      <c r="J165" s="21"/>
      <c r="K165" s="33"/>
      <c r="L165" s="19"/>
      <c r="M165" s="151"/>
    </row>
    <row r="166" spans="1:13" ht="40.5" x14ac:dyDescent="0.25">
      <c r="A166" s="51">
        <v>4751</v>
      </c>
      <c r="B166" s="9" t="s">
        <v>487</v>
      </c>
      <c r="C166" s="54" t="s">
        <v>87</v>
      </c>
      <c r="D166" s="21">
        <f>SUM(E166:F166)</f>
        <v>0</v>
      </c>
      <c r="E166" s="21"/>
      <c r="F166" s="21" t="s">
        <v>1</v>
      </c>
      <c r="G166" s="21">
        <f>+D166/4</f>
        <v>0</v>
      </c>
      <c r="H166" s="21">
        <f>+D166/4*2</f>
        <v>0</v>
      </c>
      <c r="I166" s="21">
        <f>+D166/4*3</f>
        <v>0</v>
      </c>
      <c r="J166" s="21">
        <f>+D166</f>
        <v>0</v>
      </c>
      <c r="K166" s="33"/>
      <c r="L166" s="19"/>
      <c r="M166" s="151"/>
    </row>
    <row r="167" spans="1:13" x14ac:dyDescent="0.25">
      <c r="A167" s="51">
        <v>4760</v>
      </c>
      <c r="B167" s="9" t="s">
        <v>488</v>
      </c>
      <c r="C167" s="54" t="s">
        <v>19</v>
      </c>
      <c r="D167" s="21">
        <f>SUM(D169)</f>
        <v>39201.24</v>
      </c>
      <c r="E167" s="21">
        <f>SUM(E169)</f>
        <v>39201.24</v>
      </c>
      <c r="F167" s="21" t="s">
        <v>1</v>
      </c>
      <c r="G167" s="21">
        <f>SUM(G169)</f>
        <v>11534.868571428573</v>
      </c>
      <c r="H167" s="21">
        <f>SUM(H169)</f>
        <v>21024.057619047617</v>
      </c>
      <c r="I167" s="21">
        <f>SUM(I169)</f>
        <v>31291.049047619046</v>
      </c>
      <c r="J167" s="21">
        <f>SUM(J169)</f>
        <v>39201.24</v>
      </c>
      <c r="K167" s="33"/>
      <c r="L167" s="19"/>
      <c r="M167" s="151"/>
    </row>
    <row r="168" spans="1:13" x14ac:dyDescent="0.25">
      <c r="A168" s="51"/>
      <c r="B168" s="11" t="s">
        <v>156</v>
      </c>
      <c r="C168" s="54"/>
      <c r="D168" s="21"/>
      <c r="E168" s="21"/>
      <c r="F168" s="21"/>
      <c r="G168" s="21"/>
      <c r="H168" s="21"/>
      <c r="I168" s="21"/>
      <c r="J168" s="21"/>
      <c r="K168" s="33"/>
      <c r="L168" s="19"/>
      <c r="M168" s="151"/>
    </row>
    <row r="169" spans="1:13" x14ac:dyDescent="0.25">
      <c r="A169" s="51">
        <v>4761</v>
      </c>
      <c r="B169" s="9" t="s">
        <v>489</v>
      </c>
      <c r="C169" s="54" t="s">
        <v>88</v>
      </c>
      <c r="D169" s="21">
        <f>+'4.Gorcarakan ev tntesagitakan'!H38+'4.Gorcarakan ev tntesagitakan'!H109+'4.Gorcarakan ev tntesagitakan'!H548+'4.Gorcarakan ev tntesagitakan'!H631</f>
        <v>39201.24</v>
      </c>
      <c r="E169" s="21">
        <f>+'4.Gorcarakan ev tntesagitakan'!I38+'4.Gorcarakan ev tntesagitakan'!I109+'4.Gorcarakan ev tntesagitakan'!I548+'4.Gorcarakan ev tntesagitakan'!I631</f>
        <v>39201.24</v>
      </c>
      <c r="F169" s="21" t="s">
        <v>1</v>
      </c>
      <c r="G169" s="21">
        <f>+'4.Gorcarakan ev tntesagitakan'!K38+'4.Gorcarakan ev tntesagitakan'!K109+'4.Gorcarakan ev tntesagitakan'!K548+'4.Gorcarakan ev tntesagitakan'!K631</f>
        <v>11534.868571428573</v>
      </c>
      <c r="H169" s="21">
        <f>+'4.Gorcarakan ev tntesagitakan'!L38+'4.Gorcarakan ev tntesagitakan'!L109+'4.Gorcarakan ev tntesagitakan'!L548+'4.Gorcarakan ev tntesagitakan'!L631</f>
        <v>21024.057619047617</v>
      </c>
      <c r="I169" s="21">
        <f>+'4.Gorcarakan ev tntesagitakan'!M38+'4.Gorcarakan ev tntesagitakan'!M109+'4.Gorcarakan ev tntesagitakan'!M548+'4.Gorcarakan ev tntesagitakan'!M631</f>
        <v>31291.049047619046</v>
      </c>
      <c r="J169" s="21">
        <f>+'4.Gorcarakan ev tntesagitakan'!N38+'4.Gorcarakan ev tntesagitakan'!N109+'4.Gorcarakan ev tntesagitakan'!N548+'4.Gorcarakan ev tntesagitakan'!N631</f>
        <v>39201.24</v>
      </c>
      <c r="K169" s="33"/>
      <c r="L169" s="19"/>
      <c r="M169" s="151"/>
    </row>
    <row r="170" spans="1:13" x14ac:dyDescent="0.25">
      <c r="A170" s="51">
        <v>4770</v>
      </c>
      <c r="B170" s="9" t="s">
        <v>490</v>
      </c>
      <c r="C170" s="54" t="s">
        <v>19</v>
      </c>
      <c r="D170" s="21">
        <f t="shared" ref="D170:J170" si="7">SUM(D172)</f>
        <v>0</v>
      </c>
      <c r="E170" s="21">
        <f t="shared" si="7"/>
        <v>925983</v>
      </c>
      <c r="F170" s="21">
        <f t="shared" si="7"/>
        <v>925983</v>
      </c>
      <c r="G170" s="21">
        <f t="shared" si="7"/>
        <v>345364</v>
      </c>
      <c r="H170" s="21">
        <f t="shared" si="7"/>
        <v>532603</v>
      </c>
      <c r="I170" s="21">
        <f t="shared" si="7"/>
        <v>726707</v>
      </c>
      <c r="J170" s="21">
        <f t="shared" si="7"/>
        <v>925983</v>
      </c>
      <c r="K170" s="33"/>
      <c r="L170" s="19"/>
      <c r="M170" s="151"/>
    </row>
    <row r="171" spans="1:13" x14ac:dyDescent="0.25">
      <c r="A171" s="51"/>
      <c r="B171" s="11" t="s">
        <v>156</v>
      </c>
      <c r="C171" s="54"/>
      <c r="D171" s="21"/>
      <c r="E171" s="21"/>
      <c r="F171" s="21"/>
      <c r="G171" s="21"/>
      <c r="H171" s="21"/>
      <c r="I171" s="21"/>
      <c r="J171" s="21"/>
      <c r="K171" s="33"/>
      <c r="L171" s="19"/>
      <c r="M171" s="151"/>
    </row>
    <row r="172" spans="1:13" x14ac:dyDescent="0.25">
      <c r="A172" s="51">
        <v>4771</v>
      </c>
      <c r="B172" s="9" t="s">
        <v>491</v>
      </c>
      <c r="C172" s="54" t="s">
        <v>89</v>
      </c>
      <c r="D172" s="21"/>
      <c r="E172" s="21">
        <f>+'4.Gorcarakan ev tntesagitakan'!I777</f>
        <v>925983</v>
      </c>
      <c r="F172" s="21">
        <f>+'4.Gorcarakan ev tntesagitakan'!J777</f>
        <v>925983</v>
      </c>
      <c r="G172" s="21">
        <f>+'4.Gorcarakan ev tntesagitakan'!K777</f>
        <v>345364</v>
      </c>
      <c r="H172" s="21">
        <f>+'4.Gorcarakan ev tntesagitakan'!L777</f>
        <v>532603</v>
      </c>
      <c r="I172" s="21">
        <f>+'4.Gorcarakan ev tntesagitakan'!M777</f>
        <v>726707</v>
      </c>
      <c r="J172" s="21">
        <f>+'4.Gorcarakan ev tntesagitakan'!N777</f>
        <v>925983</v>
      </c>
      <c r="K172" s="33"/>
      <c r="L172" s="19"/>
      <c r="M172" s="151"/>
    </row>
    <row r="173" spans="1:13" ht="40.5" x14ac:dyDescent="0.25">
      <c r="A173" s="51">
        <v>4772</v>
      </c>
      <c r="B173" s="9" t="s">
        <v>492</v>
      </c>
      <c r="C173" s="54" t="s">
        <v>19</v>
      </c>
      <c r="D173" s="21">
        <f>SUM(E173:F173)</f>
        <v>0</v>
      </c>
      <c r="E173" s="21">
        <v>0</v>
      </c>
      <c r="F173" s="21" t="s">
        <v>0</v>
      </c>
      <c r="G173" s="21">
        <f>+D173/4</f>
        <v>0</v>
      </c>
      <c r="H173" s="21">
        <f>+D173/4*2</f>
        <v>0</v>
      </c>
      <c r="I173" s="21">
        <f>+D173/4*3</f>
        <v>0</v>
      </c>
      <c r="J173" s="21">
        <f>+D173</f>
        <v>0</v>
      </c>
      <c r="K173" s="33"/>
      <c r="L173" s="19"/>
      <c r="M173" s="151"/>
    </row>
    <row r="174" spans="1:13" s="17" customFormat="1" ht="51.75" x14ac:dyDescent="0.25">
      <c r="A174" s="51">
        <v>5000</v>
      </c>
      <c r="B174" s="10" t="s">
        <v>493</v>
      </c>
      <c r="C174" s="54" t="s">
        <v>19</v>
      </c>
      <c r="D174" s="21">
        <f>SUM(D176,D194,D200,D203)</f>
        <v>4201499.1077999994</v>
      </c>
      <c r="E174" s="21" t="s">
        <v>640</v>
      </c>
      <c r="F174" s="21">
        <f>SUM(F176,F194,F200,F203)</f>
        <v>4201499.1077999994</v>
      </c>
      <c r="G174" s="21">
        <f>SUM(G176,G194,G200,G203)</f>
        <v>2973261.0601809518</v>
      </c>
      <c r="H174" s="21">
        <f>SUM(H176,H194,H200,H203)</f>
        <v>3308523.0069337408</v>
      </c>
      <c r="I174" s="21">
        <f>SUM(I176,I194,I200,I203)</f>
        <v>3733412.2288317471</v>
      </c>
      <c r="J174" s="21">
        <f>SUM(J176,J194,J200,J203)</f>
        <v>4201499.1077999994</v>
      </c>
      <c r="K174" s="33"/>
      <c r="L174" s="19"/>
      <c r="M174" s="151"/>
    </row>
    <row r="175" spans="1:13" x14ac:dyDescent="0.25">
      <c r="A175" s="51"/>
      <c r="B175" s="11" t="s">
        <v>375</v>
      </c>
      <c r="C175" s="52"/>
      <c r="D175" s="21"/>
      <c r="E175" s="21"/>
      <c r="F175" s="21"/>
      <c r="G175" s="21"/>
      <c r="H175" s="21"/>
      <c r="I175" s="21"/>
      <c r="J175" s="21"/>
      <c r="K175" s="33"/>
      <c r="L175" s="19"/>
      <c r="M175" s="151"/>
    </row>
    <row r="176" spans="1:13" ht="27" x14ac:dyDescent="0.25">
      <c r="A176" s="51">
        <v>5100</v>
      </c>
      <c r="B176" s="9" t="s">
        <v>494</v>
      </c>
      <c r="C176" s="54" t="s">
        <v>19</v>
      </c>
      <c r="D176" s="21">
        <f>SUM(D178,D183,D188)</f>
        <v>4201499.1077999994</v>
      </c>
      <c r="E176" s="21" t="s">
        <v>1</v>
      </c>
      <c r="F176" s="21">
        <f>SUM(F178,F183,F188)</f>
        <v>4201499.1077999994</v>
      </c>
      <c r="G176" s="21">
        <f>SUM(G178,G183,G188)</f>
        <v>2973261.0601809518</v>
      </c>
      <c r="H176" s="21">
        <f>SUM(H178,H183,H188)</f>
        <v>3308523.0069337408</v>
      </c>
      <c r="I176" s="21">
        <f>SUM(I178,I183,I188)</f>
        <v>3733412.2288317471</v>
      </c>
      <c r="J176" s="21">
        <f>SUM(J178,J183,J188)</f>
        <v>4201499.1077999994</v>
      </c>
      <c r="K176" s="33"/>
      <c r="L176" s="19"/>
      <c r="M176" s="151"/>
    </row>
    <row r="177" spans="1:13" x14ac:dyDescent="0.25">
      <c r="A177" s="51"/>
      <c r="B177" s="11" t="s">
        <v>375</v>
      </c>
      <c r="C177" s="52"/>
      <c r="D177" s="21"/>
      <c r="E177" s="21"/>
      <c r="F177" s="21"/>
      <c r="G177" s="21"/>
      <c r="H177" s="21"/>
      <c r="I177" s="21"/>
      <c r="J177" s="21"/>
      <c r="K177" s="33"/>
      <c r="L177" s="19"/>
      <c r="M177" s="151"/>
    </row>
    <row r="178" spans="1:13" ht="27" x14ac:dyDescent="0.25">
      <c r="A178" s="51">
        <v>5110</v>
      </c>
      <c r="B178" s="9" t="s">
        <v>495</v>
      </c>
      <c r="C178" s="54" t="s">
        <v>19</v>
      </c>
      <c r="D178" s="21">
        <f>SUM(D180:D182)</f>
        <v>3678163.2367999996</v>
      </c>
      <c r="E178" s="21" t="s">
        <v>0</v>
      </c>
      <c r="F178" s="21">
        <f>SUM(F180:F182)</f>
        <v>3678163.2367999996</v>
      </c>
      <c r="G178" s="21">
        <f>SUM(G180:G182)</f>
        <v>2872095.2287999997</v>
      </c>
      <c r="H178" s="21">
        <f>SUM(H180:H182)</f>
        <v>3118019.4147154866</v>
      </c>
      <c r="I178" s="21">
        <f>SUM(I180:I182)</f>
        <v>3316775.585875398</v>
      </c>
      <c r="J178" s="21">
        <f>SUM(J180:J182)</f>
        <v>3678163.2367999996</v>
      </c>
      <c r="K178" s="33"/>
      <c r="L178" s="19"/>
      <c r="M178" s="151"/>
    </row>
    <row r="179" spans="1:13" x14ac:dyDescent="0.25">
      <c r="A179" s="51"/>
      <c r="B179" s="11" t="s">
        <v>156</v>
      </c>
      <c r="C179" s="54"/>
      <c r="D179" s="21"/>
      <c r="E179" s="21"/>
      <c r="F179" s="21"/>
      <c r="G179" s="21"/>
      <c r="H179" s="21"/>
      <c r="I179" s="21"/>
      <c r="J179" s="21"/>
      <c r="K179" s="33"/>
      <c r="L179" s="19"/>
      <c r="M179" s="151"/>
    </row>
    <row r="180" spans="1:13" x14ac:dyDescent="0.25">
      <c r="A180" s="51">
        <v>5111</v>
      </c>
      <c r="B180" s="9" t="s">
        <v>496</v>
      </c>
      <c r="C180" s="56" t="s">
        <v>90</v>
      </c>
      <c r="D180" s="21">
        <f>+'4.Gorcarakan ev tntesagitakan'!H39+'4.Gorcarakan ev tntesagitakan'!H740</f>
        <v>0</v>
      </c>
      <c r="E180" s="21" t="s">
        <v>0</v>
      </c>
      <c r="F180" s="21">
        <f>+'4.Gorcarakan ev tntesagitakan'!J39+'4.Gorcarakan ev tntesagitakan'!J740</f>
        <v>0</v>
      </c>
      <c r="G180" s="21"/>
      <c r="H180" s="21"/>
      <c r="I180" s="21"/>
      <c r="J180" s="21"/>
      <c r="K180" s="33"/>
      <c r="L180" s="19"/>
      <c r="M180" s="151"/>
    </row>
    <row r="181" spans="1:13" x14ac:dyDescent="0.25">
      <c r="A181" s="51">
        <v>5112</v>
      </c>
      <c r="B181" s="9" t="s">
        <v>497</v>
      </c>
      <c r="C181" s="56" t="s">
        <v>91</v>
      </c>
      <c r="D181" s="21">
        <f>+'4.Gorcarakan ev tntesagitakan'!H435+'4.Gorcarakan ev tntesagitakan'!H458+'4.Gorcarakan ev tntesagitakan'!H590</f>
        <v>22000</v>
      </c>
      <c r="E181" s="21" t="s">
        <v>0</v>
      </c>
      <c r="F181" s="21">
        <f>+'4.Gorcarakan ev tntesagitakan'!J435+'4.Gorcarakan ev tntesagitakan'!J458+'4.Gorcarakan ev tntesagitakan'!J590</f>
        <v>22000</v>
      </c>
      <c r="G181" s="21">
        <f>+'4.Gorcarakan ev tntesagitakan'!K435+'4.Gorcarakan ev tntesagitakan'!K458+'4.Gorcarakan ev tntesagitakan'!K590</f>
        <v>5238.0952380952385</v>
      </c>
      <c r="H181" s="21">
        <f>+'4.Gorcarakan ev tntesagitakan'!L435+'4.Gorcarakan ev tntesagitakan'!L458+'4.Gorcarakan ev tntesagitakan'!L590</f>
        <v>10563.492063492065</v>
      </c>
      <c r="I181" s="21">
        <f>+'4.Gorcarakan ev tntesagitakan'!M435+'4.Gorcarakan ev tntesagitakan'!M458+'4.Gorcarakan ev tntesagitakan'!M590</f>
        <v>16484.126984126982</v>
      </c>
      <c r="J181" s="21">
        <f>+'4.Gorcarakan ev tntesagitakan'!N435+'4.Gorcarakan ev tntesagitakan'!N458+'4.Gorcarakan ev tntesagitakan'!N590</f>
        <v>22000</v>
      </c>
      <c r="K181" s="33"/>
      <c r="L181" s="19"/>
      <c r="M181" s="151"/>
    </row>
    <row r="182" spans="1:13" x14ac:dyDescent="0.25">
      <c r="A182" s="51">
        <v>5113</v>
      </c>
      <c r="B182" s="9" t="s">
        <v>173</v>
      </c>
      <c r="C182" s="56" t="s">
        <v>92</v>
      </c>
      <c r="D182" s="21">
        <f>+'4.Gorcarakan ev tntesagitakan'!H40+'4.Gorcarakan ev tntesagitakan'!H282+'4.Gorcarakan ev tntesagitakan'!H402+'4.Gorcarakan ev tntesagitakan'!H457+'4.Gorcarakan ev tntesagitakan'!H591+'4.Gorcarakan ev tntesagitakan'!H565+'4.Gorcarakan ev tntesagitakan'!H693</f>
        <v>3656163.2367999996</v>
      </c>
      <c r="E182" s="21" t="s">
        <v>0</v>
      </c>
      <c r="F182" s="21">
        <f>+'4.Gorcarakan ev tntesagitakan'!J40+'4.Gorcarakan ev tntesagitakan'!J282+'4.Gorcarakan ev tntesagitakan'!J402+'4.Gorcarakan ev tntesagitakan'!J457+'4.Gorcarakan ev tntesagitakan'!J591+'4.Gorcarakan ev tntesagitakan'!J565+'4.Gorcarakan ev tntesagitakan'!J693</f>
        <v>3656163.2367999996</v>
      </c>
      <c r="G182" s="21">
        <f>+'4.Gorcarakan ev tntesagitakan'!K40+'4.Gorcarakan ev tntesagitakan'!K282+'4.Gorcarakan ev tntesagitakan'!K402+'4.Gorcarakan ev tntesagitakan'!K457+'4.Gorcarakan ev tntesagitakan'!K591+'4.Gorcarakan ev tntesagitakan'!K565+'4.Gorcarakan ev tntesagitakan'!K693</f>
        <v>2866857.1335619045</v>
      </c>
      <c r="H182" s="21">
        <f>+'4.Gorcarakan ev tntesagitakan'!L40+'4.Gorcarakan ev tntesagitakan'!L282+'4.Gorcarakan ev tntesagitakan'!L402+'4.Gorcarakan ev tntesagitakan'!L457+'4.Gorcarakan ev tntesagitakan'!L591+'4.Gorcarakan ev tntesagitakan'!L565+'4.Gorcarakan ev tntesagitakan'!L693</f>
        <v>3107455.9226519945</v>
      </c>
      <c r="I182" s="21">
        <f>+'4.Gorcarakan ev tntesagitakan'!M40+'4.Gorcarakan ev tntesagitakan'!M282+'4.Gorcarakan ev tntesagitakan'!M402+'4.Gorcarakan ev tntesagitakan'!M457+'4.Gorcarakan ev tntesagitakan'!M591+'4.Gorcarakan ev tntesagitakan'!M565+'4.Gorcarakan ev tntesagitakan'!M693</f>
        <v>3300291.4588912711</v>
      </c>
      <c r="J182" s="21">
        <f>+'4.Gorcarakan ev tntesagitakan'!N40+'4.Gorcarakan ev tntesagitakan'!N282+'4.Gorcarakan ev tntesagitakan'!N402+'4.Gorcarakan ev tntesagitakan'!N457+'4.Gorcarakan ev tntesagitakan'!N591+'4.Gorcarakan ev tntesagitakan'!N565+'4.Gorcarakan ev tntesagitakan'!N693</f>
        <v>3656163.2367999996</v>
      </c>
      <c r="K182" s="33"/>
      <c r="L182" s="19"/>
      <c r="M182" s="151"/>
    </row>
    <row r="183" spans="1:13" ht="27" x14ac:dyDescent="0.25">
      <c r="A183" s="51">
        <v>5120</v>
      </c>
      <c r="B183" s="9" t="s">
        <v>498</v>
      </c>
      <c r="C183" s="54" t="s">
        <v>19</v>
      </c>
      <c r="D183" s="21">
        <f>SUM(D185:D187)</f>
        <v>372294.72399999999</v>
      </c>
      <c r="E183" s="21" t="s">
        <v>0</v>
      </c>
      <c r="F183" s="21">
        <f>SUM(F185:F187)</f>
        <v>372294.72399999999</v>
      </c>
      <c r="G183" s="21">
        <f>SUM(G185:G187)</f>
        <v>77090.415428571432</v>
      </c>
      <c r="H183" s="21">
        <f>SUM(H185:H187)</f>
        <v>142231.59504761905</v>
      </c>
      <c r="I183" s="21">
        <f>SUM(I185:I187)</f>
        <v>277712.21561904758</v>
      </c>
      <c r="J183" s="21">
        <f>SUM(J185:J187)</f>
        <v>372294.72399999999</v>
      </c>
      <c r="K183" s="33"/>
      <c r="L183" s="19"/>
      <c r="M183" s="151"/>
    </row>
    <row r="184" spans="1:13" x14ac:dyDescent="0.25">
      <c r="A184" s="51"/>
      <c r="B184" s="9" t="s">
        <v>156</v>
      </c>
      <c r="C184" s="54"/>
      <c r="D184" s="21"/>
      <c r="E184" s="21"/>
      <c r="F184" s="21"/>
      <c r="G184" s="21"/>
      <c r="H184" s="21"/>
      <c r="I184" s="21"/>
      <c r="J184" s="21"/>
      <c r="K184" s="33"/>
      <c r="L184" s="19"/>
      <c r="M184" s="151"/>
    </row>
    <row r="185" spans="1:13" x14ac:dyDescent="0.25">
      <c r="A185" s="51">
        <v>5121</v>
      </c>
      <c r="B185" s="9" t="s">
        <v>499</v>
      </c>
      <c r="C185" s="56" t="s">
        <v>93</v>
      </c>
      <c r="D185" s="21">
        <f>+'4.Gorcarakan ev tntesagitakan'!H41+'4.Gorcarakan ev tntesagitakan'!H283</f>
        <v>222100</v>
      </c>
      <c r="E185" s="21" t="s">
        <v>1</v>
      </c>
      <c r="F185" s="21">
        <f>+'4.Gorcarakan ev tntesagitakan'!J41+'4.Gorcarakan ev tntesagitakan'!J283</f>
        <v>222100</v>
      </c>
      <c r="G185" s="21">
        <f>+'4.Gorcarakan ev tntesagitakan'!K41+'4.Gorcarakan ev tntesagitakan'!K283</f>
        <v>44309.523809523809</v>
      </c>
      <c r="H185" s="21">
        <f>+'4.Gorcarakan ev tntesagitakan'!L41+'4.Gorcarakan ev tntesagitakan'!L283</f>
        <v>89357.539682539689</v>
      </c>
      <c r="I185" s="21">
        <f>+'4.Gorcarakan ev tntesagitakan'!M41+'4.Gorcarakan ev tntesagitakan'!M283</f>
        <v>138098.01587301589</v>
      </c>
      <c r="J185" s="21">
        <f>+'4.Gorcarakan ev tntesagitakan'!N41+'4.Gorcarakan ev tntesagitakan'!N283</f>
        <v>222100</v>
      </c>
      <c r="K185" s="33"/>
      <c r="L185" s="19"/>
      <c r="M185" s="151"/>
    </row>
    <row r="186" spans="1:13" x14ac:dyDescent="0.25">
      <c r="A186" s="51">
        <v>5122</v>
      </c>
      <c r="B186" s="9" t="s">
        <v>500</v>
      </c>
      <c r="C186" s="56" t="s">
        <v>94</v>
      </c>
      <c r="D186" s="21">
        <f>+'4.Gorcarakan ev tntesagitakan'!H42+'4.Gorcarakan ev tntesagitakan'!H366+'4.Gorcarakan ev tntesagitakan'!H459+'4.Gorcarakan ev tntesagitakan'!H559</f>
        <v>46000</v>
      </c>
      <c r="E186" s="21"/>
      <c r="F186" s="21">
        <f>+'4.Gorcarakan ev tntesagitakan'!J42+'4.Gorcarakan ev tntesagitakan'!J366+'4.Gorcarakan ev tntesagitakan'!J459+'4.Gorcarakan ev tntesagitakan'!J559</f>
        <v>46000</v>
      </c>
      <c r="G186" s="21">
        <f>+'4.Gorcarakan ev tntesagitakan'!K42+'4.Gorcarakan ev tntesagitakan'!K366+'4.Gorcarakan ev tntesagitakan'!K459+'4.Gorcarakan ev tntesagitakan'!K559</f>
        <v>2619.0476190476193</v>
      </c>
      <c r="H186" s="21">
        <f>+'4.Gorcarakan ev tntesagitakan'!L42+'4.Gorcarakan ev tntesagitakan'!L366+'4.Gorcarakan ev tntesagitakan'!L459+'4.Gorcarakan ev tntesagitakan'!L559</f>
        <v>5281.7460317460327</v>
      </c>
      <c r="I186" s="21">
        <f>+'4.Gorcarakan ev tntesagitakan'!M42+'4.Gorcarakan ev tntesagitakan'!M366+'4.Gorcarakan ev tntesagitakan'!M459+'4.Gorcarakan ev tntesagitakan'!M559</f>
        <v>43162.698412698388</v>
      </c>
      <c r="J186" s="21">
        <f>+'4.Gorcarakan ev tntesagitakan'!N42+'4.Gorcarakan ev tntesagitakan'!N366+'4.Gorcarakan ev tntesagitakan'!N459+'4.Gorcarakan ev tntesagitakan'!N559</f>
        <v>46000</v>
      </c>
      <c r="K186" s="33"/>
      <c r="L186" s="19"/>
      <c r="M186" s="151"/>
    </row>
    <row r="187" spans="1:13" x14ac:dyDescent="0.25">
      <c r="A187" s="51">
        <v>5123</v>
      </c>
      <c r="B187" s="9" t="s">
        <v>501</v>
      </c>
      <c r="C187" s="56" t="s">
        <v>95</v>
      </c>
      <c r="D187" s="21">
        <f>+'4.Gorcarakan ev tntesagitakan'!H44+'4.Gorcarakan ev tntesagitakan'!H367+'4.Gorcarakan ev tntesagitakan'!H405+'4.Gorcarakan ev tntesagitakan'!H436+'4.Gorcarakan ev tntesagitakan'!H460</f>
        <v>104194.72399999999</v>
      </c>
      <c r="E187" s="21" t="s">
        <v>1</v>
      </c>
      <c r="F187" s="21">
        <f>+'4.Gorcarakan ev tntesagitakan'!J44+'4.Gorcarakan ev tntesagitakan'!J367+'4.Gorcarakan ev tntesagitakan'!J405+'4.Gorcarakan ev tntesagitakan'!J436+'4.Gorcarakan ev tntesagitakan'!J460</f>
        <v>104194.72399999999</v>
      </c>
      <c r="G187" s="21">
        <f>+'4.Gorcarakan ev tntesagitakan'!K44+'4.Gorcarakan ev tntesagitakan'!K367+'4.Gorcarakan ev tntesagitakan'!K405+'4.Gorcarakan ev tntesagitakan'!K436+'4.Gorcarakan ev tntesagitakan'!K460</f>
        <v>30161.844000000001</v>
      </c>
      <c r="H187" s="21">
        <f>+'4.Gorcarakan ev tntesagitakan'!L44+'4.Gorcarakan ev tntesagitakan'!L367+'4.Gorcarakan ev tntesagitakan'!L405+'4.Gorcarakan ev tntesagitakan'!L436+'4.Gorcarakan ev tntesagitakan'!L460</f>
        <v>47592.309333333331</v>
      </c>
      <c r="I187" s="21">
        <f>+'4.Gorcarakan ev tntesagitakan'!M44+'4.Gorcarakan ev tntesagitakan'!M367+'4.Gorcarakan ev tntesagitakan'!M405+'4.Gorcarakan ev tntesagitakan'!M436+'4.Gorcarakan ev tntesagitakan'!M460</f>
        <v>96451.501333333305</v>
      </c>
      <c r="J187" s="21">
        <f>+'4.Gorcarakan ev tntesagitakan'!N44+'4.Gorcarakan ev tntesagitakan'!N367+'4.Gorcarakan ev tntesagitakan'!N405+'4.Gorcarakan ev tntesagitakan'!N436+'4.Gorcarakan ev tntesagitakan'!N460</f>
        <v>104194.72399999999</v>
      </c>
      <c r="K187" s="33"/>
      <c r="L187" s="19"/>
      <c r="M187" s="151"/>
    </row>
    <row r="188" spans="1:13" ht="27" x14ac:dyDescent="0.25">
      <c r="A188" s="51">
        <v>5130</v>
      </c>
      <c r="B188" s="9" t="s">
        <v>502</v>
      </c>
      <c r="C188" s="54" t="s">
        <v>19</v>
      </c>
      <c r="D188" s="21">
        <f>SUM(D190:D193)</f>
        <v>151041.147</v>
      </c>
      <c r="E188" s="21" t="s">
        <v>1</v>
      </c>
      <c r="F188" s="21">
        <f t="shared" ref="F188:J188" si="8">SUM(F190:F193)</f>
        <v>151041.147</v>
      </c>
      <c r="G188" s="21">
        <f t="shared" si="8"/>
        <v>24075.41595238095</v>
      </c>
      <c r="H188" s="21">
        <f t="shared" si="8"/>
        <v>48271.997170634924</v>
      </c>
      <c r="I188" s="21">
        <f t="shared" si="8"/>
        <v>138924.4273373016</v>
      </c>
      <c r="J188" s="21">
        <f t="shared" si="8"/>
        <v>151041.147</v>
      </c>
      <c r="K188" s="33"/>
      <c r="L188" s="19"/>
      <c r="M188" s="151"/>
    </row>
    <row r="189" spans="1:13" x14ac:dyDescent="0.25">
      <c r="A189" s="51"/>
      <c r="B189" s="11" t="s">
        <v>156</v>
      </c>
      <c r="C189" s="54"/>
      <c r="D189" s="21"/>
      <c r="E189" s="21"/>
      <c r="F189" s="21"/>
      <c r="G189" s="21"/>
      <c r="H189" s="21"/>
      <c r="I189" s="21"/>
      <c r="J189" s="21"/>
      <c r="K189" s="33"/>
      <c r="L189" s="19"/>
      <c r="M189" s="151"/>
    </row>
    <row r="190" spans="1:13" x14ac:dyDescent="0.25">
      <c r="A190" s="51">
        <v>5131</v>
      </c>
      <c r="B190" s="9" t="s">
        <v>503</v>
      </c>
      <c r="C190" s="56" t="s">
        <v>96</v>
      </c>
      <c r="D190" s="21">
        <f>'4.Gorcarakan ev tntesagitakan'!H45+'4.Gorcarakan ev tntesagitakan'!H403</f>
        <v>7150</v>
      </c>
      <c r="E190" s="21" t="s">
        <v>1</v>
      </c>
      <c r="F190" s="21">
        <f>'4.Gorcarakan ev tntesagitakan'!J45+'4.Gorcarakan ev tntesagitakan'!J403</f>
        <v>7150</v>
      </c>
      <c r="G190" s="21">
        <f>'4.Gorcarakan ev tntesagitakan'!K45+'4.Gorcarakan ev tntesagitakan'!K403</f>
        <v>1702.3809523809523</v>
      </c>
      <c r="H190" s="21">
        <f>'4.Gorcarakan ev tntesagitakan'!L45+'4.Gorcarakan ev tntesagitakan'!L403</f>
        <v>3433.1349206349205</v>
      </c>
      <c r="I190" s="21">
        <f>'4.Gorcarakan ev tntesagitakan'!M45+'4.Gorcarakan ev tntesagitakan'!M403</f>
        <v>5305.7539682539682</v>
      </c>
      <c r="J190" s="21">
        <f>'4.Gorcarakan ev tntesagitakan'!N45+'4.Gorcarakan ev tntesagitakan'!N403</f>
        <v>7150</v>
      </c>
      <c r="K190" s="33"/>
      <c r="L190" s="19"/>
      <c r="M190" s="151"/>
    </row>
    <row r="191" spans="1:13" x14ac:dyDescent="0.25">
      <c r="A191" s="51">
        <v>5132</v>
      </c>
      <c r="B191" s="9" t="s">
        <v>504</v>
      </c>
      <c r="C191" s="56" t="s">
        <v>97</v>
      </c>
      <c r="D191" s="21"/>
      <c r="E191" s="21" t="s">
        <v>1</v>
      </c>
      <c r="F191" s="21"/>
      <c r="G191" s="21"/>
      <c r="H191" s="21"/>
      <c r="I191" s="21"/>
      <c r="J191" s="21"/>
      <c r="K191" s="33"/>
      <c r="L191" s="19"/>
      <c r="M191" s="151"/>
    </row>
    <row r="192" spans="1:13" x14ac:dyDescent="0.25">
      <c r="A192" s="51">
        <v>5133</v>
      </c>
      <c r="B192" s="9" t="s">
        <v>505</v>
      </c>
      <c r="C192" s="56" t="s">
        <v>98</v>
      </c>
      <c r="D192" s="21"/>
      <c r="E192" s="21" t="s">
        <v>1</v>
      </c>
      <c r="F192" s="21"/>
      <c r="G192" s="21"/>
      <c r="H192" s="21"/>
      <c r="I192" s="21"/>
      <c r="J192" s="21"/>
      <c r="K192" s="33"/>
      <c r="L192" s="19"/>
      <c r="M192" s="151"/>
    </row>
    <row r="193" spans="1:13" x14ac:dyDescent="0.25">
      <c r="A193" s="51">
        <v>5134</v>
      </c>
      <c r="B193" s="9" t="s">
        <v>506</v>
      </c>
      <c r="C193" s="56" t="s">
        <v>99</v>
      </c>
      <c r="D193" s="21">
        <f>'4.Gorcarakan ev tntesagitakan'!H46+'4.Gorcarakan ev tntesagitakan'!H95+'4.Gorcarakan ev tntesagitakan'!H284+'4.Gorcarakan ev tntesagitakan'!H404+'4.Gorcarakan ev tntesagitakan'!H461</f>
        <v>143891.147</v>
      </c>
      <c r="E193" s="21" t="s">
        <v>1</v>
      </c>
      <c r="F193" s="21">
        <f>'4.Gorcarakan ev tntesagitakan'!J46+'4.Gorcarakan ev tntesagitakan'!J95+'4.Gorcarakan ev tntesagitakan'!J284+'4.Gorcarakan ev tntesagitakan'!J404+'4.Gorcarakan ev tntesagitakan'!J461</f>
        <v>143891.147</v>
      </c>
      <c r="G193" s="21">
        <f>'4.Gorcarakan ev tntesagitakan'!K46+'4.Gorcarakan ev tntesagitakan'!K95+'4.Gorcarakan ev tntesagitakan'!K284+'4.Gorcarakan ev tntesagitakan'!K404+'4.Gorcarakan ev tntesagitakan'!K461</f>
        <v>22373.035</v>
      </c>
      <c r="H193" s="21">
        <f>'4.Gorcarakan ev tntesagitakan'!L46+'4.Gorcarakan ev tntesagitakan'!L95+'4.Gorcarakan ev tntesagitakan'!L284+'4.Gorcarakan ev tntesagitakan'!L404+'4.Gorcarakan ev tntesagitakan'!L461</f>
        <v>44838.862250000006</v>
      </c>
      <c r="I193" s="21">
        <f>'4.Gorcarakan ev tntesagitakan'!M46+'4.Gorcarakan ev tntesagitakan'!M95+'4.Gorcarakan ev tntesagitakan'!M284+'4.Gorcarakan ev tntesagitakan'!M404+'4.Gorcarakan ev tntesagitakan'!M461</f>
        <v>133618.67336904764</v>
      </c>
      <c r="J193" s="21">
        <f>'4.Gorcarakan ev tntesagitakan'!N46+'4.Gorcarakan ev tntesagitakan'!N95+'4.Gorcarakan ev tntesagitakan'!N284+'4.Gorcarakan ev tntesagitakan'!N404+'4.Gorcarakan ev tntesagitakan'!N461</f>
        <v>143891.147</v>
      </c>
      <c r="K193" s="33"/>
      <c r="L193" s="19"/>
      <c r="M193" s="151"/>
    </row>
    <row r="194" spans="1:13" x14ac:dyDescent="0.25">
      <c r="A194" s="51">
        <v>5200</v>
      </c>
      <c r="B194" s="9" t="s">
        <v>507</v>
      </c>
      <c r="C194" s="54" t="s">
        <v>19</v>
      </c>
      <c r="D194" s="21">
        <f>SUM(D196:D199)</f>
        <v>0</v>
      </c>
      <c r="E194" s="21" t="s">
        <v>1</v>
      </c>
      <c r="F194" s="21">
        <f>SUM(F196:F199)</f>
        <v>0</v>
      </c>
      <c r="G194" s="21">
        <f>SUM(G196:G199)</f>
        <v>0</v>
      </c>
      <c r="H194" s="21">
        <f>SUM(H196:H199)</f>
        <v>0</v>
      </c>
      <c r="I194" s="21">
        <f>SUM(I196:I199)</f>
        <v>0</v>
      </c>
      <c r="J194" s="21">
        <f>SUM(J196:J199)</f>
        <v>0</v>
      </c>
      <c r="K194" s="33"/>
      <c r="L194" s="19"/>
      <c r="M194" s="151"/>
    </row>
    <row r="195" spans="1:13" x14ac:dyDescent="0.25">
      <c r="A195" s="51"/>
      <c r="B195" s="11" t="s">
        <v>375</v>
      </c>
      <c r="C195" s="52"/>
      <c r="D195" s="21"/>
      <c r="E195" s="21"/>
      <c r="F195" s="21"/>
      <c r="G195" s="21"/>
      <c r="H195" s="21"/>
      <c r="I195" s="21"/>
      <c r="J195" s="21"/>
      <c r="K195" s="33"/>
      <c r="L195" s="19"/>
      <c r="M195" s="151"/>
    </row>
    <row r="196" spans="1:13" ht="27" x14ac:dyDescent="0.25">
      <c r="A196" s="51">
        <v>5211</v>
      </c>
      <c r="B196" s="9" t="s">
        <v>508</v>
      </c>
      <c r="C196" s="56" t="s">
        <v>100</v>
      </c>
      <c r="D196" s="21"/>
      <c r="E196" s="21" t="s">
        <v>1</v>
      </c>
      <c r="F196" s="21"/>
      <c r="G196" s="21">
        <f>+D196/4</f>
        <v>0</v>
      </c>
      <c r="H196" s="21">
        <f>+D196/4*2</f>
        <v>0</v>
      </c>
      <c r="I196" s="21">
        <f>+D196/4*3</f>
        <v>0</v>
      </c>
      <c r="J196" s="21">
        <f>+D196</f>
        <v>0</v>
      </c>
      <c r="K196" s="33"/>
      <c r="L196" s="19"/>
      <c r="M196" s="151"/>
    </row>
    <row r="197" spans="1:13" x14ac:dyDescent="0.25">
      <c r="A197" s="51">
        <v>5221</v>
      </c>
      <c r="B197" s="9" t="s">
        <v>509</v>
      </c>
      <c r="C197" s="56" t="s">
        <v>101</v>
      </c>
      <c r="D197" s="21"/>
      <c r="E197" s="21" t="s">
        <v>1</v>
      </c>
      <c r="F197" s="21"/>
      <c r="G197" s="21">
        <f>+D197/4</f>
        <v>0</v>
      </c>
      <c r="H197" s="21">
        <f>+D197/4*2</f>
        <v>0</v>
      </c>
      <c r="I197" s="21">
        <f>+D197/4*3</f>
        <v>0</v>
      </c>
      <c r="J197" s="21">
        <f>+D197</f>
        <v>0</v>
      </c>
      <c r="K197" s="33"/>
      <c r="L197" s="19"/>
      <c r="M197" s="151"/>
    </row>
    <row r="198" spans="1:13" x14ac:dyDescent="0.25">
      <c r="A198" s="51">
        <v>5231</v>
      </c>
      <c r="B198" s="9" t="s">
        <v>510</v>
      </c>
      <c r="C198" s="56" t="s">
        <v>102</v>
      </c>
      <c r="D198" s="21"/>
      <c r="E198" s="21" t="s">
        <v>1</v>
      </c>
      <c r="F198" s="21"/>
      <c r="G198" s="21">
        <f>+D198/4</f>
        <v>0</v>
      </c>
      <c r="H198" s="21">
        <f>+D198/4*2</f>
        <v>0</v>
      </c>
      <c r="I198" s="21">
        <f>+D198/4*3</f>
        <v>0</v>
      </c>
      <c r="J198" s="21">
        <f>+D198</f>
        <v>0</v>
      </c>
      <c r="K198" s="33"/>
      <c r="L198" s="19"/>
      <c r="M198" s="151"/>
    </row>
    <row r="199" spans="1:13" x14ac:dyDescent="0.25">
      <c r="A199" s="51">
        <v>5241</v>
      </c>
      <c r="B199" s="9" t="s">
        <v>511</v>
      </c>
      <c r="C199" s="56" t="s">
        <v>103</v>
      </c>
      <c r="D199" s="21"/>
      <c r="E199" s="21" t="s">
        <v>1</v>
      </c>
      <c r="F199" s="21"/>
      <c r="G199" s="21">
        <f>+D199/4</f>
        <v>0</v>
      </c>
      <c r="H199" s="21">
        <f>+D199/4*2</f>
        <v>0</v>
      </c>
      <c r="I199" s="21">
        <f>+D199/4*3</f>
        <v>0</v>
      </c>
      <c r="J199" s="21">
        <f>+D199</f>
        <v>0</v>
      </c>
      <c r="K199" s="33"/>
      <c r="L199" s="19"/>
      <c r="M199" s="151"/>
    </row>
    <row r="200" spans="1:13" x14ac:dyDescent="0.25">
      <c r="A200" s="51">
        <v>5300</v>
      </c>
      <c r="B200" s="9" t="s">
        <v>512</v>
      </c>
      <c r="C200" s="54" t="s">
        <v>19</v>
      </c>
      <c r="D200" s="21">
        <f>SUM(D202)</f>
        <v>0</v>
      </c>
      <c r="E200" s="21" t="s">
        <v>1</v>
      </c>
      <c r="F200" s="21">
        <f>SUM(F202)</f>
        <v>0</v>
      </c>
      <c r="G200" s="21">
        <f>SUM(G202)</f>
        <v>0</v>
      </c>
      <c r="H200" s="21">
        <f>SUM(H202)</f>
        <v>0</v>
      </c>
      <c r="I200" s="21">
        <f>SUM(I202)</f>
        <v>0</v>
      </c>
      <c r="J200" s="21">
        <f>SUM(J202)</f>
        <v>0</v>
      </c>
      <c r="K200" s="33"/>
      <c r="L200" s="19"/>
      <c r="M200" s="151"/>
    </row>
    <row r="201" spans="1:13" x14ac:dyDescent="0.25">
      <c r="A201" s="51"/>
      <c r="B201" s="11" t="s">
        <v>375</v>
      </c>
      <c r="C201" s="52"/>
      <c r="D201" s="21"/>
      <c r="E201" s="21"/>
      <c r="F201" s="21"/>
      <c r="G201" s="21"/>
      <c r="H201" s="21"/>
      <c r="I201" s="21"/>
      <c r="J201" s="21"/>
      <c r="K201" s="33"/>
      <c r="L201" s="19"/>
      <c r="M201" s="151"/>
    </row>
    <row r="202" spans="1:13" x14ac:dyDescent="0.25">
      <c r="A202" s="51">
        <v>5311</v>
      </c>
      <c r="B202" s="9" t="s">
        <v>513</v>
      </c>
      <c r="C202" s="56" t="s">
        <v>104</v>
      </c>
      <c r="D202" s="21"/>
      <c r="E202" s="21" t="s">
        <v>1</v>
      </c>
      <c r="F202" s="21"/>
      <c r="G202" s="21">
        <f>+D202/4</f>
        <v>0</v>
      </c>
      <c r="H202" s="21">
        <f>+D202/4*2</f>
        <v>0</v>
      </c>
      <c r="I202" s="21">
        <f>+D202/4*3</f>
        <v>0</v>
      </c>
      <c r="J202" s="21">
        <f>+D202</f>
        <v>0</v>
      </c>
      <c r="K202" s="33"/>
      <c r="L202" s="19"/>
      <c r="M202" s="151"/>
    </row>
    <row r="203" spans="1:13" ht="27" x14ac:dyDescent="0.25">
      <c r="A203" s="51">
        <v>5400</v>
      </c>
      <c r="B203" s="9" t="s">
        <v>514</v>
      </c>
      <c r="C203" s="54" t="s">
        <v>19</v>
      </c>
      <c r="D203" s="21">
        <f>SUM(D205:D208)</f>
        <v>0</v>
      </c>
      <c r="E203" s="21" t="s">
        <v>1</v>
      </c>
      <c r="F203" s="21">
        <f>SUM(F205:F208)</f>
        <v>0</v>
      </c>
      <c r="G203" s="21">
        <f>SUM(G205:G208)</f>
        <v>0</v>
      </c>
      <c r="H203" s="21">
        <f>SUM(H205:H208)</f>
        <v>0</v>
      </c>
      <c r="I203" s="21">
        <f>SUM(I205:I208)</f>
        <v>0</v>
      </c>
      <c r="J203" s="21">
        <f>SUM(J205:J208)</f>
        <v>0</v>
      </c>
      <c r="K203" s="33"/>
      <c r="L203" s="19"/>
      <c r="M203" s="151"/>
    </row>
    <row r="204" spans="1:13" x14ac:dyDescent="0.25">
      <c r="A204" s="51"/>
      <c r="B204" s="11" t="s">
        <v>375</v>
      </c>
      <c r="C204" s="52"/>
      <c r="D204" s="21"/>
      <c r="E204" s="21"/>
      <c r="F204" s="21"/>
      <c r="G204" s="21"/>
      <c r="H204" s="21"/>
      <c r="I204" s="21"/>
      <c r="J204" s="21"/>
      <c r="K204" s="33"/>
      <c r="L204" s="19"/>
      <c r="M204" s="151"/>
    </row>
    <row r="205" spans="1:13" x14ac:dyDescent="0.25">
      <c r="A205" s="51">
        <v>5411</v>
      </c>
      <c r="B205" s="9" t="s">
        <v>515</v>
      </c>
      <c r="C205" s="56" t="s">
        <v>105</v>
      </c>
      <c r="D205" s="21">
        <f>+'4.Gorcarakan ev tntesagitakan'!H587</f>
        <v>0</v>
      </c>
      <c r="E205" s="21" t="s">
        <v>1</v>
      </c>
      <c r="F205" s="21">
        <f>+'4.Gorcarakan ev tntesagitakan'!J587</f>
        <v>0</v>
      </c>
      <c r="G205" s="21">
        <f>+'4.Gorcarakan ev tntesagitakan'!K587</f>
        <v>0</v>
      </c>
      <c r="H205" s="21">
        <f>+'4.Gorcarakan ev tntesagitakan'!L587</f>
        <v>0</v>
      </c>
      <c r="I205" s="21">
        <f>+'4.Gorcarakan ev tntesagitakan'!M587</f>
        <v>0</v>
      </c>
      <c r="J205" s="21">
        <f>+'4.Gorcarakan ev tntesagitakan'!N587</f>
        <v>0</v>
      </c>
      <c r="K205" s="33"/>
      <c r="L205" s="19"/>
      <c r="M205" s="151"/>
    </row>
    <row r="206" spans="1:13" x14ac:dyDescent="0.25">
      <c r="A206" s="51">
        <v>5421</v>
      </c>
      <c r="B206" s="9" t="s">
        <v>516</v>
      </c>
      <c r="C206" s="56" t="s">
        <v>106</v>
      </c>
      <c r="D206" s="21"/>
      <c r="E206" s="21" t="s">
        <v>1</v>
      </c>
      <c r="F206" s="21"/>
      <c r="G206" s="21"/>
      <c r="H206" s="21"/>
      <c r="I206" s="21"/>
      <c r="J206" s="21"/>
      <c r="K206" s="33"/>
      <c r="L206" s="19"/>
      <c r="M206" s="151"/>
    </row>
    <row r="207" spans="1:13" x14ac:dyDescent="0.25">
      <c r="A207" s="51">
        <v>5431</v>
      </c>
      <c r="B207" s="9" t="s">
        <v>517</v>
      </c>
      <c r="C207" s="56" t="s">
        <v>107</v>
      </c>
      <c r="D207" s="21"/>
      <c r="E207" s="21" t="s">
        <v>1</v>
      </c>
      <c r="F207" s="21"/>
      <c r="G207" s="21"/>
      <c r="H207" s="21"/>
      <c r="I207" s="21"/>
      <c r="J207" s="21"/>
      <c r="K207" s="33"/>
      <c r="L207" s="19"/>
      <c r="M207" s="151"/>
    </row>
    <row r="208" spans="1:13" x14ac:dyDescent="0.25">
      <c r="A208" s="51">
        <v>5441</v>
      </c>
      <c r="B208" s="11" t="s">
        <v>518</v>
      </c>
      <c r="C208" s="56" t="s">
        <v>108</v>
      </c>
      <c r="D208" s="21"/>
      <c r="E208" s="21" t="s">
        <v>1</v>
      </c>
      <c r="F208" s="21"/>
      <c r="G208" s="21"/>
      <c r="H208" s="21"/>
      <c r="I208" s="21"/>
      <c r="J208" s="21"/>
      <c r="K208" s="33"/>
      <c r="L208" s="19"/>
      <c r="M208" s="151"/>
    </row>
    <row r="209" spans="1:13" ht="57" customHeight="1" x14ac:dyDescent="0.25">
      <c r="A209" s="57" t="s">
        <v>109</v>
      </c>
      <c r="B209" s="67" t="s">
        <v>519</v>
      </c>
      <c r="C209" s="57" t="s">
        <v>19</v>
      </c>
      <c r="D209" s="21">
        <f>SUM(D211,D216,D224,D227)</f>
        <v>-850000</v>
      </c>
      <c r="E209" s="21"/>
      <c r="F209" s="21">
        <f>SUM(F211,F216,F224,F227)</f>
        <v>-850000</v>
      </c>
      <c r="G209" s="21">
        <f>SUM(G211,G216,G224,G227)</f>
        <v>-202380.95238095237</v>
      </c>
      <c r="H209" s="21">
        <f>SUM(H211,H216,H224,H227)</f>
        <v>-350403.89913374081</v>
      </c>
      <c r="I209" s="21">
        <f>SUM(I211,I216,I224,I227)</f>
        <v>-581189.12103174627</v>
      </c>
      <c r="J209" s="21">
        <f>SUM(J211,J216,J224,J227)</f>
        <v>-850000</v>
      </c>
      <c r="K209" s="33"/>
      <c r="L209" s="19"/>
      <c r="M209" s="151"/>
    </row>
    <row r="210" spans="1:13" ht="44.25" customHeight="1" x14ac:dyDescent="0.25">
      <c r="A210" s="57"/>
      <c r="B210" s="14" t="s">
        <v>154</v>
      </c>
      <c r="C210" s="57"/>
      <c r="D210" s="21"/>
      <c r="E210" s="21"/>
      <c r="F210" s="21"/>
      <c r="G210" s="21"/>
      <c r="H210" s="21"/>
      <c r="I210" s="21"/>
      <c r="J210" s="21"/>
      <c r="K210" s="33"/>
      <c r="L210" s="19"/>
      <c r="M210" s="151"/>
    </row>
    <row r="211" spans="1:13" ht="33" x14ac:dyDescent="0.25">
      <c r="A211" s="58" t="s">
        <v>111</v>
      </c>
      <c r="B211" s="68" t="s">
        <v>520</v>
      </c>
      <c r="C211" s="59" t="s">
        <v>19</v>
      </c>
      <c r="D211" s="21">
        <f>SUM(D213:D215)</f>
        <v>-383000</v>
      </c>
      <c r="E211" s="21" t="s">
        <v>110</v>
      </c>
      <c r="F211" s="21">
        <f>SUM(F213:F215)</f>
        <v>-383000</v>
      </c>
      <c r="G211" s="21">
        <f>+G213+G215</f>
        <v>-91190.476190476198</v>
      </c>
      <c r="H211" s="21">
        <f>+H213+H215</f>
        <v>-183900.79365079367</v>
      </c>
      <c r="I211" s="21">
        <f>+I213+I215</f>
        <v>-284210.31746031746</v>
      </c>
      <c r="J211" s="21">
        <f>+J213+J215</f>
        <v>-383000</v>
      </c>
      <c r="K211" s="33"/>
      <c r="L211" s="19"/>
      <c r="M211" s="151"/>
    </row>
    <row r="212" spans="1:13" ht="44.25" customHeight="1" x14ac:dyDescent="0.25">
      <c r="A212" s="58"/>
      <c r="B212" s="14" t="s">
        <v>154</v>
      </c>
      <c r="C212" s="59"/>
      <c r="D212" s="21"/>
      <c r="E212" s="21"/>
      <c r="F212" s="21"/>
      <c r="G212" s="21"/>
      <c r="H212" s="21"/>
      <c r="I212" s="21"/>
      <c r="J212" s="21"/>
      <c r="K212" s="33"/>
      <c r="L212" s="19"/>
      <c r="M212" s="151"/>
    </row>
    <row r="213" spans="1:13" ht="37.5" customHeight="1" x14ac:dyDescent="0.25">
      <c r="A213" s="58" t="s">
        <v>112</v>
      </c>
      <c r="B213" s="14" t="s">
        <v>521</v>
      </c>
      <c r="C213" s="58" t="s">
        <v>113</v>
      </c>
      <c r="D213" s="21"/>
      <c r="E213" s="21" t="s">
        <v>0</v>
      </c>
      <c r="F213" s="21">
        <f>+D213</f>
        <v>0</v>
      </c>
      <c r="G213" s="21">
        <f>+D213/4</f>
        <v>0</v>
      </c>
      <c r="H213" s="21">
        <f>+D213/4*2</f>
        <v>0</v>
      </c>
      <c r="I213" s="21">
        <f>+D213/4*3</f>
        <v>0</v>
      </c>
      <c r="J213" s="21">
        <f>+D213</f>
        <v>0</v>
      </c>
      <c r="K213" s="33"/>
      <c r="L213" s="19"/>
      <c r="M213" s="151"/>
    </row>
    <row r="214" spans="1:13" s="206" customFormat="1" ht="14.25" x14ac:dyDescent="0.25">
      <c r="A214" s="58" t="s">
        <v>114</v>
      </c>
      <c r="B214" s="14" t="s">
        <v>522</v>
      </c>
      <c r="C214" s="58" t="s">
        <v>115</v>
      </c>
      <c r="D214" s="21">
        <f>SUM(E214:F214)</f>
        <v>0</v>
      </c>
      <c r="E214" s="21" t="s">
        <v>0</v>
      </c>
      <c r="F214" s="60"/>
      <c r="G214" s="21">
        <f>+D214/4</f>
        <v>0</v>
      </c>
      <c r="H214" s="21">
        <f>+D214/4*2</f>
        <v>0</v>
      </c>
      <c r="I214" s="21">
        <f>+D214/4*3</f>
        <v>0</v>
      </c>
      <c r="J214" s="21">
        <f>+D214</f>
        <v>0</v>
      </c>
      <c r="K214" s="33"/>
      <c r="L214" s="19"/>
      <c r="M214" s="151"/>
    </row>
    <row r="215" spans="1:13" ht="27" x14ac:dyDescent="0.25">
      <c r="A215" s="20" t="s">
        <v>116</v>
      </c>
      <c r="B215" s="14" t="s">
        <v>523</v>
      </c>
      <c r="C215" s="59" t="s">
        <v>117</v>
      </c>
      <c r="D215" s="21">
        <f>+F215</f>
        <v>-383000</v>
      </c>
      <c r="E215" s="21" t="s">
        <v>110</v>
      </c>
      <c r="F215" s="21">
        <v>-383000</v>
      </c>
      <c r="G215" s="145">
        <f>+D215/252*60</f>
        <v>-91190.476190476198</v>
      </c>
      <c r="H215" s="145">
        <f>+D215/252*121</f>
        <v>-183900.79365079367</v>
      </c>
      <c r="I215" s="145">
        <f>+D215/252*187</f>
        <v>-284210.31746031746</v>
      </c>
      <c r="J215" s="145">
        <f t="shared" ref="J215" si="9">+D215</f>
        <v>-383000</v>
      </c>
      <c r="K215" s="33"/>
      <c r="L215" s="19"/>
      <c r="M215" s="151"/>
    </row>
    <row r="216" spans="1:13" ht="33" x14ac:dyDescent="0.25">
      <c r="A216" s="20" t="s">
        <v>118</v>
      </c>
      <c r="B216" s="68" t="s">
        <v>524</v>
      </c>
      <c r="C216" s="59" t="s">
        <v>19</v>
      </c>
      <c r="D216" s="21">
        <f>SUM(D218:D219)</f>
        <v>0</v>
      </c>
      <c r="E216" s="21" t="s">
        <v>110</v>
      </c>
      <c r="F216" s="21">
        <f>SUM(F218:F219)</f>
        <v>0</v>
      </c>
      <c r="G216" s="21">
        <f>SUM(G218:G219)</f>
        <v>0</v>
      </c>
      <c r="H216" s="21">
        <f>SUM(H218:H219)</f>
        <v>0</v>
      </c>
      <c r="I216" s="21">
        <f>SUM(I218:I219)</f>
        <v>0</v>
      </c>
      <c r="J216" s="21">
        <f>SUM(J218:J219)</f>
        <v>0</v>
      </c>
      <c r="K216" s="33"/>
      <c r="L216" s="19"/>
      <c r="M216" s="151"/>
    </row>
    <row r="217" spans="1:13" x14ac:dyDescent="0.25">
      <c r="A217" s="20"/>
      <c r="B217" s="14" t="s">
        <v>154</v>
      </c>
      <c r="C217" s="59"/>
      <c r="D217" s="21"/>
      <c r="E217" s="21"/>
      <c r="F217" s="21"/>
      <c r="G217" s="21"/>
      <c r="H217" s="21"/>
      <c r="I217" s="21"/>
      <c r="J217" s="21"/>
      <c r="K217" s="33"/>
      <c r="L217" s="19"/>
      <c r="M217" s="151"/>
    </row>
    <row r="218" spans="1:13" s="207" customFormat="1" ht="31.5" customHeight="1" x14ac:dyDescent="0.25">
      <c r="A218" s="65" t="s">
        <v>119</v>
      </c>
      <c r="B218" s="14" t="s">
        <v>525</v>
      </c>
      <c r="C218" s="58" t="s">
        <v>120</v>
      </c>
      <c r="D218" s="66">
        <f>SUM(E218:F218)</f>
        <v>0</v>
      </c>
      <c r="E218" s="66" t="s">
        <v>110</v>
      </c>
      <c r="F218" s="66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  <c r="K218" s="33"/>
      <c r="L218" s="19"/>
      <c r="M218" s="151"/>
    </row>
    <row r="219" spans="1:13" ht="33" customHeight="1" x14ac:dyDescent="0.25">
      <c r="A219" s="20" t="s">
        <v>121</v>
      </c>
      <c r="B219" s="14" t="s">
        <v>526</v>
      </c>
      <c r="C219" s="59" t="s">
        <v>19</v>
      </c>
      <c r="D219" s="21">
        <f>SUM(D221:D223)</f>
        <v>0</v>
      </c>
      <c r="E219" s="21" t="s">
        <v>110</v>
      </c>
      <c r="F219" s="21">
        <f>SUM(F221:F223)</f>
        <v>0</v>
      </c>
      <c r="G219" s="21">
        <f>SUM(G221:G223)</f>
        <v>0</v>
      </c>
      <c r="H219" s="21">
        <f>SUM(H221:H223)</f>
        <v>0</v>
      </c>
      <c r="I219" s="21">
        <f>SUM(I221:I223)</f>
        <v>0</v>
      </c>
      <c r="J219" s="21">
        <f>SUM(J221:J223)</f>
        <v>0</v>
      </c>
      <c r="K219" s="33"/>
      <c r="L219" s="19"/>
      <c r="M219" s="151"/>
    </row>
    <row r="220" spans="1:13" x14ac:dyDescent="0.25">
      <c r="A220" s="20"/>
      <c r="B220" s="14" t="s">
        <v>156</v>
      </c>
      <c r="C220" s="59"/>
      <c r="D220" s="21"/>
      <c r="E220" s="21"/>
      <c r="F220" s="21"/>
      <c r="G220" s="21"/>
      <c r="H220" s="21"/>
      <c r="I220" s="21"/>
      <c r="J220" s="21"/>
      <c r="K220" s="33"/>
      <c r="L220" s="19"/>
      <c r="M220" s="151"/>
    </row>
    <row r="221" spans="1:13" x14ac:dyDescent="0.25">
      <c r="A221" s="20" t="s">
        <v>122</v>
      </c>
      <c r="B221" s="14" t="s">
        <v>527</v>
      </c>
      <c r="C221" s="58" t="s">
        <v>123</v>
      </c>
      <c r="D221" s="21">
        <f>SUM(E221:F221)</f>
        <v>0</v>
      </c>
      <c r="E221" s="21" t="s">
        <v>0</v>
      </c>
      <c r="F221" s="21"/>
      <c r="G221" s="21">
        <f>+D221/4</f>
        <v>0</v>
      </c>
      <c r="H221" s="21">
        <f>+D221/4*2</f>
        <v>0</v>
      </c>
      <c r="I221" s="21">
        <f>+D221/4*3</f>
        <v>0</v>
      </c>
      <c r="J221" s="21">
        <f>+D221</f>
        <v>0</v>
      </c>
      <c r="K221" s="33"/>
      <c r="L221" s="19"/>
      <c r="M221" s="151"/>
    </row>
    <row r="222" spans="1:13" ht="30.75" customHeight="1" x14ac:dyDescent="0.25">
      <c r="A222" s="61" t="s">
        <v>124</v>
      </c>
      <c r="B222" s="14" t="s">
        <v>528</v>
      </c>
      <c r="C222" s="59" t="s">
        <v>125</v>
      </c>
      <c r="D222" s="21">
        <f>SUM(E222:F222)</f>
        <v>0</v>
      </c>
      <c r="E222" s="21" t="s">
        <v>110</v>
      </c>
      <c r="F222" s="21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  <c r="K222" s="33"/>
      <c r="L222" s="19"/>
      <c r="M222" s="151"/>
    </row>
    <row r="223" spans="1:13" ht="33" customHeight="1" x14ac:dyDescent="0.25">
      <c r="A223" s="20" t="s">
        <v>126</v>
      </c>
      <c r="B223" s="7" t="s">
        <v>529</v>
      </c>
      <c r="C223" s="59" t="s">
        <v>127</v>
      </c>
      <c r="D223" s="21">
        <f>SUM(E223:F223)</f>
        <v>0</v>
      </c>
      <c r="E223" s="21" t="s">
        <v>110</v>
      </c>
      <c r="F223" s="21"/>
      <c r="G223" s="21">
        <f>+D223/4</f>
        <v>0</v>
      </c>
      <c r="H223" s="21">
        <f>+D223/4*2</f>
        <v>0</v>
      </c>
      <c r="I223" s="21">
        <f>+D223/4*3</f>
        <v>0</v>
      </c>
      <c r="J223" s="21">
        <f>+D223</f>
        <v>0</v>
      </c>
      <c r="K223" s="33"/>
      <c r="L223" s="19"/>
      <c r="M223" s="151"/>
    </row>
    <row r="224" spans="1:13" ht="33" x14ac:dyDescent="0.25">
      <c r="A224" s="20" t="s">
        <v>128</v>
      </c>
      <c r="B224" s="68" t="s">
        <v>530</v>
      </c>
      <c r="C224" s="59" t="s">
        <v>19</v>
      </c>
      <c r="D224" s="21">
        <f>SUM(D226)</f>
        <v>0</v>
      </c>
      <c r="E224" s="21" t="s">
        <v>110</v>
      </c>
      <c r="F224" s="21">
        <f>SUM(F226)</f>
        <v>0</v>
      </c>
      <c r="G224" s="21">
        <f>SUM(G226)</f>
        <v>0</v>
      </c>
      <c r="H224" s="21">
        <f>SUM(H226)</f>
        <v>0</v>
      </c>
      <c r="I224" s="21">
        <f>SUM(I226)</f>
        <v>0</v>
      </c>
      <c r="J224" s="21">
        <f>SUM(J226)</f>
        <v>0</v>
      </c>
      <c r="K224" s="33"/>
      <c r="L224" s="19"/>
      <c r="M224" s="151"/>
    </row>
    <row r="225" spans="1:13" x14ac:dyDescent="0.25">
      <c r="A225" s="20"/>
      <c r="B225" s="14" t="s">
        <v>154</v>
      </c>
      <c r="C225" s="59"/>
      <c r="D225" s="21"/>
      <c r="E225" s="21"/>
      <c r="F225" s="21"/>
      <c r="G225" s="21"/>
      <c r="H225" s="21"/>
      <c r="I225" s="21"/>
      <c r="J225" s="21"/>
      <c r="K225" s="33"/>
      <c r="L225" s="19"/>
      <c r="M225" s="151"/>
    </row>
    <row r="226" spans="1:13" x14ac:dyDescent="0.25">
      <c r="A226" s="61" t="s">
        <v>129</v>
      </c>
      <c r="B226" s="14" t="s">
        <v>531</v>
      </c>
      <c r="C226" s="57" t="s">
        <v>130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  <c r="K226" s="33"/>
      <c r="L226" s="19"/>
      <c r="M226" s="151"/>
    </row>
    <row r="227" spans="1:13" ht="49.5" x14ac:dyDescent="0.25">
      <c r="A227" s="20" t="s">
        <v>131</v>
      </c>
      <c r="B227" s="68" t="s">
        <v>532</v>
      </c>
      <c r="C227" s="59" t="s">
        <v>19</v>
      </c>
      <c r="D227" s="21">
        <f>SUM(D229:D232)</f>
        <v>-467000</v>
      </c>
      <c r="E227" s="21" t="s">
        <v>110</v>
      </c>
      <c r="F227" s="21">
        <f>SUM(F229:F232)</f>
        <v>-467000</v>
      </c>
      <c r="G227" s="21">
        <f>SUM(G229:G232)</f>
        <v>-111190.47619047618</v>
      </c>
      <c r="H227" s="21">
        <f>SUM(H229:H232)</f>
        <v>-166503.10548294711</v>
      </c>
      <c r="I227" s="21">
        <f>SUM(I229:I232)</f>
        <v>-296978.80357142881</v>
      </c>
      <c r="J227" s="21">
        <f>SUM(J229:J232)</f>
        <v>-467000</v>
      </c>
      <c r="K227" s="33"/>
      <c r="L227" s="19"/>
      <c r="M227" s="151"/>
    </row>
    <row r="228" spans="1:13" x14ac:dyDescent="0.25">
      <c r="A228" s="20"/>
      <c r="B228" s="14" t="s">
        <v>154</v>
      </c>
      <c r="C228" s="59"/>
      <c r="D228" s="21"/>
      <c r="E228" s="21"/>
      <c r="F228" s="21"/>
      <c r="G228" s="21"/>
      <c r="H228" s="21"/>
      <c r="I228" s="21"/>
      <c r="J228" s="21"/>
      <c r="K228" s="33"/>
      <c r="L228" s="19"/>
      <c r="M228" s="151"/>
    </row>
    <row r="229" spans="1:13" x14ac:dyDescent="0.25">
      <c r="A229" s="20" t="s">
        <v>132</v>
      </c>
      <c r="B229" s="14" t="s">
        <v>533</v>
      </c>
      <c r="C229" s="58" t="s">
        <v>133</v>
      </c>
      <c r="D229" s="21">
        <f>+F229</f>
        <v>-467000</v>
      </c>
      <c r="E229" s="21" t="s">
        <v>110</v>
      </c>
      <c r="F229" s="21">
        <v>-467000</v>
      </c>
      <c r="G229" s="145">
        <f t="shared" ref="G229" si="10">+D229/252*60</f>
        <v>-111190.47619047618</v>
      </c>
      <c r="H229" s="145">
        <f>-224234.126984127+57731.0215011799</f>
        <v>-166503.10548294711</v>
      </c>
      <c r="I229" s="145">
        <v>-296978.80357142881</v>
      </c>
      <c r="J229" s="145">
        <f t="shared" ref="J229" si="11">+D229</f>
        <v>-467000</v>
      </c>
      <c r="K229" s="33"/>
      <c r="L229" s="19"/>
      <c r="M229" s="151"/>
    </row>
    <row r="230" spans="1:13" x14ac:dyDescent="0.25">
      <c r="A230" s="61" t="s">
        <v>134</v>
      </c>
      <c r="B230" s="14" t="s">
        <v>534</v>
      </c>
      <c r="C230" s="57" t="s">
        <v>135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  <c r="K230" s="33"/>
      <c r="L230" s="19"/>
      <c r="M230" s="151"/>
    </row>
    <row r="231" spans="1:13" ht="36.75" customHeight="1" x14ac:dyDescent="0.25">
      <c r="A231" s="20" t="s">
        <v>136</v>
      </c>
      <c r="B231" s="14" t="s">
        <v>535</v>
      </c>
      <c r="C231" s="59" t="s">
        <v>137</v>
      </c>
      <c r="D231" s="21">
        <f>SUM(E231:F231)</f>
        <v>0</v>
      </c>
      <c r="E231" s="21" t="s">
        <v>110</v>
      </c>
      <c r="F231" s="21"/>
      <c r="G231" s="21">
        <f>+D231/4</f>
        <v>0</v>
      </c>
      <c r="H231" s="21">
        <f>+D231/4*2</f>
        <v>0</v>
      </c>
      <c r="I231" s="21">
        <f>+D231/4*3</f>
        <v>0</v>
      </c>
      <c r="J231" s="21">
        <f>+D231</f>
        <v>0</v>
      </c>
      <c r="K231" s="33"/>
      <c r="L231" s="19"/>
      <c r="M231" s="151"/>
    </row>
    <row r="232" spans="1:13" ht="36" customHeight="1" x14ac:dyDescent="0.25">
      <c r="A232" s="20" t="s">
        <v>138</v>
      </c>
      <c r="B232" s="14" t="s">
        <v>536</v>
      </c>
      <c r="C232" s="59" t="s">
        <v>139</v>
      </c>
      <c r="D232" s="21">
        <f>SUM(E232:F232)</f>
        <v>0</v>
      </c>
      <c r="E232" s="21" t="s">
        <v>110</v>
      </c>
      <c r="F232" s="21"/>
      <c r="G232" s="21">
        <f>+D232/4</f>
        <v>0</v>
      </c>
      <c r="H232" s="21">
        <f>+D232/4*2</f>
        <v>0</v>
      </c>
      <c r="I232" s="21">
        <f>+D232/4*3</f>
        <v>0</v>
      </c>
      <c r="J232" s="21">
        <f>+D232</f>
        <v>0</v>
      </c>
      <c r="K232" s="33"/>
      <c r="L232" s="19"/>
      <c r="M232" s="151"/>
    </row>
  </sheetData>
  <protectedRanges>
    <protectedRange sqref="E107" name="Range18"/>
    <protectedRange sqref="F221 F213:F214 F218 D212:J212 D220:J220 D217:J217 D210:J210" name="Range15"/>
    <protectedRange sqref="D177:F177 D179:F179 D189:F189 D184:F184 D175:F175" name="Range13"/>
    <protectedRange sqref="E149 E153 E144 E155:E156 D146:F146 D148:F148 D152:F152 D143:F143" name="Range11"/>
    <protectedRange sqref="D113:E113 E116:E119 E121:E123 D115:E115 D120:F120 D124:F124" name="Range9"/>
    <protectedRange sqref="E93 E97 D101:F101 D99:F99 D95:F95 D91:F91" name="Range7"/>
    <protectedRange sqref="E77 E69:E70 D76:F76 D64:F64 D74:F74" name="Range5"/>
    <protectedRange sqref="E45 E29:F29 D33 D31:F31 D42:F42 D28:F28" name="Range3"/>
    <protectedRange sqref="E23 D20:F20 D25:F25 D14:F14 D16:F16 D18:F18" name="Range1"/>
    <protectedRange sqref="E48 E52:E53 D57:F57 D60:F60 D47:F47 E50" name="Range4"/>
    <protectedRange sqref="E85:E87 E81:E82 D89:F89 D84:F84 D80:F80" name="Range6"/>
    <protectedRange sqref="E102:E103 E111 E106 D109:E109 D105:F105" name="Range8"/>
    <protectedRange sqref="E125:E129 E134:E135 E138 D133:F133 D137:F137 D131:F131" name="Range10"/>
    <protectedRange sqref="E166 E159 E173 E162:E163 D168:F168 D161:F161 D165:F165 D171:J171 D158:F158" name="Range12"/>
    <protectedRange sqref="F196:F199 F206:F208 D201:F201 D195:F195 D204:F204" name="Range14"/>
    <protectedRange sqref="F222:F223 F229:F232 F226 D225:J225 D228:F228" name="Range16"/>
    <protectedRange sqref="E26" name="Range17"/>
    <protectedRange sqref="F202" name="Range21"/>
  </protectedRanges>
  <mergeCells count="11">
    <mergeCell ref="G3:J3"/>
    <mergeCell ref="G2:J2"/>
    <mergeCell ref="G4:J4"/>
    <mergeCell ref="A7:J7"/>
    <mergeCell ref="A6:G6"/>
    <mergeCell ref="G10:J10"/>
    <mergeCell ref="E9:F9"/>
    <mergeCell ref="E10:F10"/>
    <mergeCell ref="D10:D11"/>
    <mergeCell ref="A10:A11"/>
    <mergeCell ref="B10:C11"/>
  </mergeCells>
  <pageMargins left="0.39370078740157483" right="0.19685039370078741" top="0.23622047244094491" bottom="0.23622047244094491" header="0" footer="0"/>
  <pageSetup paperSize="9" scale="60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785"/>
  <sheetViews>
    <sheetView view="pageBreakPreview" zoomScale="85" zoomScaleNormal="100" zoomScaleSheetLayoutView="85" workbookViewId="0">
      <selection activeCell="K4" sqref="K4:N4"/>
    </sheetView>
  </sheetViews>
  <sheetFormatPr defaultRowHeight="13.5" x14ac:dyDescent="0.25"/>
  <cols>
    <col min="1" max="1" width="12.7109375" style="2" bestFit="1" customWidth="1"/>
    <col min="2" max="2" width="6.140625" style="2" customWidth="1"/>
    <col min="3" max="3" width="3.85546875" style="2" customWidth="1"/>
    <col min="4" max="4" width="4.140625" style="2" customWidth="1"/>
    <col min="5" max="5" width="3.140625" style="2" customWidth="1"/>
    <col min="6" max="6" width="45.85546875" style="209" customWidth="1"/>
    <col min="7" max="7" width="5.85546875" style="2" customWidth="1"/>
    <col min="8" max="14" width="13.42578125" style="2" customWidth="1"/>
    <col min="15" max="16" width="9.140625" style="2"/>
    <col min="17" max="17" width="11.28515625" style="2" bestFit="1" customWidth="1"/>
    <col min="18" max="18" width="11.42578125" style="2" bestFit="1" customWidth="1"/>
    <col min="19" max="19" width="10.7109375" style="2" bestFit="1" customWidth="1"/>
    <col min="20" max="20" width="11.140625" style="2" bestFit="1" customWidth="1"/>
    <col min="21" max="21" width="11.42578125" style="2" bestFit="1" customWidth="1"/>
    <col min="22" max="22" width="11" style="2" bestFit="1" customWidth="1"/>
    <col min="23" max="23" width="10" style="2" bestFit="1" customWidth="1"/>
    <col min="24" max="16384" width="9.140625" style="2"/>
  </cols>
  <sheetData>
    <row r="1" spans="1:38" s="90" customFormat="1" ht="27" customHeight="1" x14ac:dyDescent="0.25">
      <c r="B1" s="92"/>
      <c r="D1" s="92"/>
      <c r="F1" s="92"/>
      <c r="G1" s="92"/>
      <c r="H1" s="200"/>
      <c r="I1" s="200"/>
      <c r="J1" s="200"/>
      <c r="L1" s="92"/>
      <c r="M1" s="92"/>
      <c r="N1" s="92" t="s">
        <v>864</v>
      </c>
    </row>
    <row r="2" spans="1:38" s="90" customFormat="1" ht="13.5" customHeight="1" x14ac:dyDescent="0.25">
      <c r="B2" s="92"/>
      <c r="D2" s="92"/>
      <c r="F2" s="92"/>
      <c r="G2" s="92"/>
      <c r="H2" s="218"/>
      <c r="I2" s="218"/>
      <c r="J2" s="18"/>
      <c r="K2" s="239" t="s">
        <v>601</v>
      </c>
      <c r="L2" s="239"/>
      <c r="M2" s="239"/>
      <c r="N2" s="239"/>
    </row>
    <row r="3" spans="1:38" s="90" customFormat="1" ht="13.5" customHeight="1" x14ac:dyDescent="0.25">
      <c r="B3" s="92"/>
      <c r="D3" s="92"/>
      <c r="F3" s="92"/>
      <c r="G3" s="92"/>
      <c r="H3" s="210"/>
      <c r="I3" s="210"/>
      <c r="J3" s="210"/>
      <c r="K3" s="239" t="s">
        <v>863</v>
      </c>
      <c r="L3" s="239"/>
      <c r="M3" s="239"/>
      <c r="N3" s="239"/>
    </row>
    <row r="4" spans="1:38" s="90" customFormat="1" ht="13.5" customHeight="1" x14ac:dyDescent="0.25">
      <c r="B4" s="92"/>
      <c r="D4" s="92"/>
      <c r="F4" s="92"/>
      <c r="G4" s="92"/>
      <c r="H4" s="18"/>
      <c r="I4" s="18"/>
      <c r="J4" s="18"/>
      <c r="K4" s="239" t="s">
        <v>865</v>
      </c>
      <c r="L4" s="239"/>
      <c r="M4" s="239"/>
      <c r="N4" s="239"/>
      <c r="Q4" s="21">
        <f>+H11-'6.Havelurd '!D13-'1. Ekamutner'!D12</f>
        <v>0</v>
      </c>
      <c r="R4" s="21">
        <f>+I11-'6.Havelurd '!E13-'1. Ekamutner'!E12</f>
        <v>0</v>
      </c>
      <c r="S4" s="21">
        <f>+J11-'6.Havelurd '!F13-'1. Ekamutner'!F12</f>
        <v>0</v>
      </c>
      <c r="T4" s="21">
        <f>+K11-'6.Havelurd '!G13-'1. Ekamutner'!G12</f>
        <v>0</v>
      </c>
      <c r="U4" s="21">
        <f>+L11-'6.Havelurd '!H13-'1. Ekamutner'!H12</f>
        <v>0</v>
      </c>
      <c r="V4" s="21">
        <f>+M11-'6.Havelurd '!I13-'1. Ekamutner'!I12</f>
        <v>0</v>
      </c>
      <c r="W4" s="21">
        <f>+N11-'6.Havelurd '!J13-'1. Ekamutner'!J12</f>
        <v>0</v>
      </c>
    </row>
    <row r="5" spans="1:38" s="19" customFormat="1" ht="12.75" customHeight="1" x14ac:dyDescent="0.25">
      <c r="B5" s="17"/>
      <c r="C5" s="18"/>
      <c r="D5" s="17"/>
      <c r="F5" s="209"/>
      <c r="G5" s="17"/>
      <c r="H5" s="211"/>
      <c r="I5" s="211"/>
      <c r="J5" s="211"/>
      <c r="K5" s="211"/>
      <c r="L5" s="211"/>
      <c r="M5" s="211"/>
      <c r="N5" s="211"/>
      <c r="Q5" s="21"/>
      <c r="R5" s="21"/>
      <c r="S5" s="21"/>
      <c r="T5" s="21"/>
      <c r="U5" s="21"/>
      <c r="V5" s="21"/>
      <c r="W5" s="21"/>
    </row>
    <row r="6" spans="1:38" ht="20.25" x14ac:dyDescent="0.35">
      <c r="B6" s="63" t="s">
        <v>142</v>
      </c>
      <c r="F6" s="217" t="s">
        <v>636</v>
      </c>
      <c r="G6" s="217"/>
      <c r="H6" s="211"/>
      <c r="I6" s="211"/>
      <c r="J6" s="211"/>
      <c r="K6" s="211"/>
      <c r="L6" s="211"/>
      <c r="M6" s="211"/>
      <c r="N6" s="211"/>
      <c r="Q6" s="21">
        <f>+H11-'3.Tntesagitakan tsaxs'!D13</f>
        <v>0</v>
      </c>
      <c r="R6" s="21">
        <f>+I11-'3.Tntesagitakan tsaxs'!E13</f>
        <v>0</v>
      </c>
      <c r="S6" s="21">
        <f>+J11-'3.Tntesagitakan tsaxs'!F13</f>
        <v>0</v>
      </c>
      <c r="T6" s="21">
        <f>+K11-'3.Tntesagitakan tsaxs'!G13</f>
        <v>0</v>
      </c>
      <c r="U6" s="21">
        <f>+L11-'3.Tntesagitakan tsaxs'!H13</f>
        <v>0</v>
      </c>
      <c r="V6" s="21">
        <f>+M11-'3.Tntesagitakan tsaxs'!I13</f>
        <v>0</v>
      </c>
      <c r="W6" s="21">
        <f>+N11-'3.Tntesagitakan tsaxs'!J13</f>
        <v>0</v>
      </c>
    </row>
    <row r="7" spans="1:38" ht="54" customHeight="1" x14ac:dyDescent="0.35">
      <c r="B7" s="282" t="s">
        <v>602</v>
      </c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Q7" s="21">
        <f>+H11-'2.Gorcarakan tsaxs'!F12</f>
        <v>0</v>
      </c>
      <c r="R7" s="21">
        <f>+I11-'2.Gorcarakan tsaxs'!G12</f>
        <v>0</v>
      </c>
      <c r="S7" s="21">
        <f>+J11-'2.Gorcarakan tsaxs'!H12</f>
        <v>0</v>
      </c>
      <c r="T7" s="21">
        <f>+K11-'2.Gorcarakan tsaxs'!I12</f>
        <v>0</v>
      </c>
      <c r="U7" s="21">
        <f>+L11-'2.Gorcarakan tsaxs'!J12</f>
        <v>0</v>
      </c>
      <c r="V7" s="21">
        <f>+M11-'2.Gorcarakan tsaxs'!K12</f>
        <v>0</v>
      </c>
      <c r="W7" s="21">
        <f>+N11-'2.Gorcarakan tsaxs'!L12</f>
        <v>0</v>
      </c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</row>
    <row r="8" spans="1:38" ht="17.25" customHeight="1" x14ac:dyDescent="0.25">
      <c r="B8" s="277" t="s">
        <v>143</v>
      </c>
      <c r="C8" s="278" t="s">
        <v>144</v>
      </c>
      <c r="D8" s="284" t="s">
        <v>145</v>
      </c>
      <c r="E8" s="279" t="s">
        <v>146</v>
      </c>
      <c r="F8" s="280" t="s">
        <v>147</v>
      </c>
      <c r="G8" s="283" t="s">
        <v>148</v>
      </c>
      <c r="H8" s="285" t="s">
        <v>598</v>
      </c>
      <c r="I8" s="214" t="s">
        <v>149</v>
      </c>
      <c r="J8" s="215"/>
      <c r="K8" s="244" t="s">
        <v>368</v>
      </c>
      <c r="L8" s="245"/>
      <c r="M8" s="245"/>
      <c r="N8" s="246"/>
      <c r="Q8" s="21"/>
      <c r="R8" s="21"/>
      <c r="S8" s="21"/>
      <c r="T8" s="21"/>
      <c r="U8" s="21"/>
      <c r="V8" s="21"/>
      <c r="W8" s="21"/>
    </row>
    <row r="9" spans="1:38" ht="64.5" customHeight="1" x14ac:dyDescent="0.25">
      <c r="B9" s="277"/>
      <c r="C9" s="277"/>
      <c r="D9" s="277"/>
      <c r="E9" s="277"/>
      <c r="F9" s="281"/>
      <c r="G9" s="283"/>
      <c r="H9" s="286"/>
      <c r="I9" s="13" t="s">
        <v>150</v>
      </c>
      <c r="J9" s="13" t="s">
        <v>151</v>
      </c>
      <c r="K9" s="199" t="s">
        <v>187</v>
      </c>
      <c r="L9" s="199" t="s">
        <v>188</v>
      </c>
      <c r="M9" s="199" t="s">
        <v>189</v>
      </c>
      <c r="N9" s="199" t="s">
        <v>190</v>
      </c>
      <c r="Q9" s="21">
        <v>9193112.1372999996</v>
      </c>
      <c r="R9" s="21">
        <v>6767596.0294999992</v>
      </c>
      <c r="S9" s="21">
        <v>3351499.1077999999</v>
      </c>
      <c r="T9" s="21">
        <v>4280618.3073637141</v>
      </c>
      <c r="U9" s="21">
        <v>5968284.8972434709</v>
      </c>
      <c r="V9" s="21">
        <v>7657317.9902754091</v>
      </c>
      <c r="W9" s="21">
        <v>9193112.1372999996</v>
      </c>
    </row>
    <row r="10" spans="1:38" x14ac:dyDescent="0.25">
      <c r="B10" s="64">
        <v>1</v>
      </c>
      <c r="C10" s="64">
        <v>2</v>
      </c>
      <c r="D10" s="64">
        <v>3</v>
      </c>
      <c r="E10" s="64">
        <v>4</v>
      </c>
      <c r="F10" s="76" t="s">
        <v>181</v>
      </c>
      <c r="G10" s="64"/>
      <c r="H10" s="64" t="s">
        <v>752</v>
      </c>
      <c r="I10" s="64">
        <v>7</v>
      </c>
      <c r="J10" s="64">
        <v>8</v>
      </c>
      <c r="K10" s="197">
        <v>7</v>
      </c>
      <c r="L10" s="198">
        <v>8</v>
      </c>
      <c r="M10" s="198">
        <v>9</v>
      </c>
      <c r="N10" s="198">
        <v>10</v>
      </c>
      <c r="Q10" s="21"/>
      <c r="R10" s="21"/>
      <c r="S10" s="21"/>
      <c r="T10" s="21"/>
      <c r="U10" s="21"/>
      <c r="V10" s="21"/>
      <c r="W10" s="21"/>
    </row>
    <row r="11" spans="1:38" ht="66.75" customHeight="1" x14ac:dyDescent="0.25">
      <c r="A11" s="151"/>
      <c r="B11" s="64">
        <v>2000</v>
      </c>
      <c r="C11" s="64" t="s">
        <v>1</v>
      </c>
      <c r="D11" s="64" t="s">
        <v>0</v>
      </c>
      <c r="E11" s="64" t="s">
        <v>0</v>
      </c>
      <c r="F11" s="71" t="s">
        <v>152</v>
      </c>
      <c r="G11" s="64"/>
      <c r="H11" s="21">
        <f>+H12+H126+H159+H215+H350+H407+H463+H537+H635+H705+H772</f>
        <v>9193112.1372999996</v>
      </c>
      <c r="I11" s="21">
        <f>+I12+I126+I159+I215+I350+I407+I463+I537+I635+I705+I772</f>
        <v>6767596.0294999992</v>
      </c>
      <c r="J11" s="21">
        <f>+J12+J126+J159+J215+J350+J407+J463+J537+J635+J705</f>
        <v>3351499.1077999999</v>
      </c>
      <c r="K11" s="21">
        <f>K12+K126+K159+K215+K350+K407+K463+K537+K635+K705</f>
        <v>4280618.3073637141</v>
      </c>
      <c r="L11" s="21">
        <f>L12+L126+L159+L215+L350+L407+L463+L537+L635+L705</f>
        <v>5968284.8972434709</v>
      </c>
      <c r="M11" s="21">
        <f>M12+M126+M159+M215+M350+M407+M463+M537+M635+M705</f>
        <v>7657317.99027541</v>
      </c>
      <c r="N11" s="21">
        <f>N12+N126+N159+N215+N350+N407+N463+N537+N635+N705</f>
        <v>9193112.1372999996</v>
      </c>
      <c r="Q11" s="21">
        <f>+H11-Q9</f>
        <v>0</v>
      </c>
      <c r="R11" s="21">
        <f t="shared" ref="R11:W11" si="0">+I11-R9</f>
        <v>0</v>
      </c>
      <c r="S11" s="21">
        <f t="shared" si="0"/>
        <v>0</v>
      </c>
      <c r="T11" s="21">
        <f t="shared" si="0"/>
        <v>0</v>
      </c>
      <c r="U11" s="21">
        <f t="shared" si="0"/>
        <v>0</v>
      </c>
      <c r="V11" s="21">
        <f t="shared" si="0"/>
        <v>0</v>
      </c>
      <c r="W11" s="21">
        <f t="shared" si="0"/>
        <v>0</v>
      </c>
    </row>
    <row r="12" spans="1:38" ht="66.75" customHeight="1" x14ac:dyDescent="0.25">
      <c r="A12" s="151"/>
      <c r="B12" s="64">
        <v>2100</v>
      </c>
      <c r="C12" s="64" t="s">
        <v>2</v>
      </c>
      <c r="D12" s="64">
        <v>0</v>
      </c>
      <c r="E12" s="64">
        <v>0</v>
      </c>
      <c r="F12" s="71" t="s">
        <v>153</v>
      </c>
      <c r="G12" s="64"/>
      <c r="H12" s="21">
        <f>+H14+H64+H84+H90+H97+H110+H116</f>
        <v>1269790.3295</v>
      </c>
      <c r="I12" s="21">
        <f>+I14+I64+I84+I90+I97+I110+I116</f>
        <v>1202361.1295</v>
      </c>
      <c r="J12" s="21">
        <f>+J14+J64+J84+J90+J97+J110+J116</f>
        <v>67429.200000000012</v>
      </c>
      <c r="K12" s="21">
        <f>+K14+K62+K84+K90+K97+K110+K116</f>
        <v>393895.40585545119</v>
      </c>
      <c r="L12" s="21">
        <f>+L14+L62+L84+L90+L97+L110+L116</f>
        <v>789308.78386351129</v>
      </c>
      <c r="M12" s="21">
        <f>+M14+M62+M84+M90+M97+M110+M116</f>
        <v>1043905.6651539803</v>
      </c>
      <c r="N12" s="21">
        <f>+N14+N62+N84+N90+N97+N110+N116</f>
        <v>1269790.3295</v>
      </c>
    </row>
    <row r="13" spans="1:38" x14ac:dyDescent="0.25">
      <c r="A13" s="151"/>
      <c r="B13" s="64"/>
      <c r="C13" s="64"/>
      <c r="D13" s="64"/>
      <c r="E13" s="64"/>
      <c r="F13" s="71" t="s">
        <v>154</v>
      </c>
      <c r="G13" s="64"/>
      <c r="H13" s="21"/>
      <c r="I13" s="21"/>
      <c r="J13" s="21"/>
      <c r="K13" s="21"/>
      <c r="L13" s="21"/>
      <c r="M13" s="21"/>
      <c r="N13" s="21"/>
    </row>
    <row r="14" spans="1:38" ht="68.25" customHeight="1" x14ac:dyDescent="0.25">
      <c r="A14" s="151"/>
      <c r="B14" s="64">
        <v>2110</v>
      </c>
      <c r="C14" s="64" t="s">
        <v>2</v>
      </c>
      <c r="D14" s="64">
        <v>1</v>
      </c>
      <c r="E14" s="64">
        <v>0</v>
      </c>
      <c r="F14" s="71" t="s">
        <v>155</v>
      </c>
      <c r="G14" s="64"/>
      <c r="H14" s="21">
        <f>H16+H47+H51</f>
        <v>990994.32950000011</v>
      </c>
      <c r="I14" s="21">
        <f t="shared" ref="I14:N14" si="1">I16+I47+I51</f>
        <v>939065.12950000004</v>
      </c>
      <c r="J14" s="21">
        <f t="shared" si="1"/>
        <v>51929.200000000004</v>
      </c>
      <c r="K14" s="21">
        <f t="shared" si="1"/>
        <v>340076.54871259403</v>
      </c>
      <c r="L14" s="21">
        <f t="shared" si="1"/>
        <v>681075.02195874939</v>
      </c>
      <c r="M14" s="21">
        <f t="shared" si="1"/>
        <v>822796.7603920754</v>
      </c>
      <c r="N14" s="21">
        <f t="shared" si="1"/>
        <v>990994.32950000011</v>
      </c>
    </row>
    <row r="15" spans="1:38" x14ac:dyDescent="0.25">
      <c r="A15" s="151"/>
      <c r="B15" s="64"/>
      <c r="C15" s="64"/>
      <c r="D15" s="64"/>
      <c r="E15" s="64"/>
      <c r="F15" s="71" t="s">
        <v>156</v>
      </c>
      <c r="G15" s="64"/>
      <c r="H15" s="21"/>
      <c r="I15" s="21"/>
      <c r="J15" s="21"/>
      <c r="K15" s="21"/>
      <c r="L15" s="21"/>
      <c r="M15" s="21"/>
      <c r="N15" s="21"/>
    </row>
    <row r="16" spans="1:38" ht="35.25" customHeight="1" x14ac:dyDescent="0.25">
      <c r="A16" s="151"/>
      <c r="B16" s="64">
        <v>2111</v>
      </c>
      <c r="C16" s="64" t="s">
        <v>2</v>
      </c>
      <c r="D16" s="64">
        <v>1</v>
      </c>
      <c r="E16" s="64">
        <v>1</v>
      </c>
      <c r="F16" s="71" t="s">
        <v>157</v>
      </c>
      <c r="G16" s="64"/>
      <c r="H16" s="21">
        <f>SUM(H17:H46)</f>
        <v>990994.32950000011</v>
      </c>
      <c r="I16" s="21">
        <f t="shared" ref="I16:N16" si="2">SUM(I17:I46)</f>
        <v>939065.12950000004</v>
      </c>
      <c r="J16" s="21">
        <f t="shared" si="2"/>
        <v>51929.200000000004</v>
      </c>
      <c r="K16" s="21">
        <f t="shared" si="2"/>
        <v>340076.54871259403</v>
      </c>
      <c r="L16" s="21">
        <f t="shared" si="2"/>
        <v>681075.02195874939</v>
      </c>
      <c r="M16" s="21">
        <f t="shared" si="2"/>
        <v>822796.7603920754</v>
      </c>
      <c r="N16" s="21">
        <f t="shared" si="2"/>
        <v>990994.32950000011</v>
      </c>
    </row>
    <row r="17" spans="1:14" ht="35.25" customHeight="1" x14ac:dyDescent="0.25">
      <c r="A17" s="151"/>
      <c r="B17" s="64"/>
      <c r="C17" s="64"/>
      <c r="D17" s="64"/>
      <c r="E17" s="64"/>
      <c r="F17" s="71" t="s">
        <v>158</v>
      </c>
      <c r="G17" s="64">
        <v>4111</v>
      </c>
      <c r="H17" s="21">
        <f>+I17+J17</f>
        <v>699404.12950000004</v>
      </c>
      <c r="I17" s="21">
        <v>699404.12950000004</v>
      </c>
      <c r="J17" s="21"/>
      <c r="K17" s="145">
        <v>257362.25347449869</v>
      </c>
      <c r="L17" s="145">
        <v>537926.91322859027</v>
      </c>
      <c r="M17" s="145">
        <v>580661.24690001179</v>
      </c>
      <c r="N17" s="145">
        <f>+H17</f>
        <v>699404.12950000004</v>
      </c>
    </row>
    <row r="18" spans="1:14" ht="27" x14ac:dyDescent="0.25">
      <c r="A18" s="151"/>
      <c r="B18" s="64"/>
      <c r="C18" s="64"/>
      <c r="D18" s="64"/>
      <c r="E18" s="64"/>
      <c r="F18" s="71" t="s">
        <v>859</v>
      </c>
      <c r="G18" s="64" t="s">
        <v>21</v>
      </c>
      <c r="H18" s="21">
        <f t="shared" ref="H18:H37" si="3">+I18+J18</f>
        <v>45000</v>
      </c>
      <c r="I18" s="21">
        <v>45000</v>
      </c>
      <c r="J18" s="21"/>
      <c r="K18" s="145">
        <f t="shared" ref="K18" si="4">+H18/252*60</f>
        <v>10714.285714285716</v>
      </c>
      <c r="L18" s="145">
        <f t="shared" ref="L18" si="5">+H18/252*121</f>
        <v>21607.142857142859</v>
      </c>
      <c r="M18" s="145">
        <f t="shared" ref="M18" si="6">+H18/252*187</f>
        <v>33392.857142857145</v>
      </c>
      <c r="N18" s="145">
        <f t="shared" ref="N18:N46" si="7">+H18</f>
        <v>45000</v>
      </c>
    </row>
    <row r="19" spans="1:14" x14ac:dyDescent="0.25">
      <c r="A19" s="151"/>
      <c r="B19" s="64"/>
      <c r="C19" s="64"/>
      <c r="D19" s="64"/>
      <c r="E19" s="64"/>
      <c r="F19" s="72" t="s">
        <v>182</v>
      </c>
      <c r="G19" s="64">
        <v>4212</v>
      </c>
      <c r="H19" s="21">
        <f t="shared" si="3"/>
        <v>25196</v>
      </c>
      <c r="I19" s="21">
        <v>25196</v>
      </c>
      <c r="J19" s="21"/>
      <c r="K19" s="145">
        <v>9561.8476190476194</v>
      </c>
      <c r="L19" s="145">
        <v>15660.879365079367</v>
      </c>
      <c r="M19" s="145">
        <v>22259.831746031745</v>
      </c>
      <c r="N19" s="145">
        <f t="shared" ref="N19:N22" si="8">+H19</f>
        <v>25196</v>
      </c>
    </row>
    <row r="20" spans="1:14" x14ac:dyDescent="0.25">
      <c r="A20" s="151"/>
      <c r="B20" s="64"/>
      <c r="C20" s="64"/>
      <c r="D20" s="64"/>
      <c r="E20" s="64"/>
      <c r="F20" s="71" t="s">
        <v>159</v>
      </c>
      <c r="G20" s="64">
        <v>4213</v>
      </c>
      <c r="H20" s="21">
        <f t="shared" si="3"/>
        <v>7302.9</v>
      </c>
      <c r="I20" s="21">
        <v>7302.9</v>
      </c>
      <c r="J20" s="21"/>
      <c r="K20" s="145">
        <v>4231.1857142857143</v>
      </c>
      <c r="L20" s="145">
        <v>5998.9511904761912</v>
      </c>
      <c r="M20" s="145">
        <v>6511.61547619048</v>
      </c>
      <c r="N20" s="145">
        <f t="shared" si="8"/>
        <v>7302.9</v>
      </c>
    </row>
    <row r="21" spans="1:14" x14ac:dyDescent="0.25">
      <c r="A21" s="151"/>
      <c r="B21" s="64"/>
      <c r="C21" s="64"/>
      <c r="D21" s="64"/>
      <c r="E21" s="64"/>
      <c r="F21" s="71" t="s">
        <v>160</v>
      </c>
      <c r="G21" s="64">
        <v>4214</v>
      </c>
      <c r="H21" s="21">
        <f t="shared" si="3"/>
        <v>9092.6</v>
      </c>
      <c r="I21" s="21">
        <v>9092.6</v>
      </c>
      <c r="J21" s="21"/>
      <c r="K21" s="145">
        <v>3314.0047619047623</v>
      </c>
      <c r="L21" s="145">
        <v>5514.99126984127</v>
      </c>
      <c r="M21" s="145">
        <v>7896.3865079365078</v>
      </c>
      <c r="N21" s="145">
        <f t="shared" si="8"/>
        <v>9092.6</v>
      </c>
    </row>
    <row r="22" spans="1:14" x14ac:dyDescent="0.25">
      <c r="A22" s="151"/>
      <c r="B22" s="64"/>
      <c r="C22" s="64"/>
      <c r="D22" s="64"/>
      <c r="E22" s="64"/>
      <c r="F22" s="71" t="s">
        <v>161</v>
      </c>
      <c r="G22" s="64">
        <v>4215</v>
      </c>
      <c r="H22" s="21">
        <f t="shared" si="3"/>
        <v>21779.5</v>
      </c>
      <c r="I22" s="21">
        <v>21779.5</v>
      </c>
      <c r="J22" s="21"/>
      <c r="K22" s="145">
        <v>7829.0952380952385</v>
      </c>
      <c r="L22" s="145">
        <v>13101.117063492064</v>
      </c>
      <c r="M22" s="145">
        <v>18805.271825396827</v>
      </c>
      <c r="N22" s="145">
        <f t="shared" si="8"/>
        <v>21779.5</v>
      </c>
    </row>
    <row r="23" spans="1:14" x14ac:dyDescent="0.25">
      <c r="A23" s="151"/>
      <c r="B23" s="64"/>
      <c r="C23" s="64"/>
      <c r="D23" s="64"/>
      <c r="E23" s="64"/>
      <c r="F23" s="71" t="s">
        <v>600</v>
      </c>
      <c r="G23" s="64">
        <v>4216</v>
      </c>
      <c r="H23" s="21">
        <f t="shared" si="3"/>
        <v>7934.4</v>
      </c>
      <c r="I23" s="21">
        <v>7934.4</v>
      </c>
      <c r="J23" s="21"/>
      <c r="K23" s="145">
        <v>5037.8285714285712</v>
      </c>
      <c r="L23" s="145">
        <v>7548.4190476189997</v>
      </c>
      <c r="M23" s="145">
        <v>7548.4190476189997</v>
      </c>
      <c r="N23" s="145">
        <f t="shared" si="7"/>
        <v>7934.4</v>
      </c>
    </row>
    <row r="24" spans="1:14" x14ac:dyDescent="0.25">
      <c r="A24" s="151"/>
      <c r="B24" s="64"/>
      <c r="C24" s="64"/>
      <c r="D24" s="64"/>
      <c r="E24" s="64"/>
      <c r="F24" s="71" t="s">
        <v>162</v>
      </c>
      <c r="G24" s="64">
        <v>4217</v>
      </c>
      <c r="H24" s="21">
        <f t="shared" si="3"/>
        <v>0</v>
      </c>
      <c r="I24" s="21">
        <v>0</v>
      </c>
      <c r="J24" s="21"/>
      <c r="K24" s="145">
        <v>0</v>
      </c>
      <c r="L24" s="145">
        <v>0</v>
      </c>
      <c r="M24" s="145">
        <v>0</v>
      </c>
      <c r="N24" s="145">
        <f t="shared" si="7"/>
        <v>0</v>
      </c>
    </row>
    <row r="25" spans="1:14" x14ac:dyDescent="0.25">
      <c r="A25" s="151"/>
      <c r="B25" s="64"/>
      <c r="C25" s="64"/>
      <c r="D25" s="64"/>
      <c r="E25" s="64"/>
      <c r="F25" s="71" t="s">
        <v>163</v>
      </c>
      <c r="G25" s="64">
        <v>4221</v>
      </c>
      <c r="H25" s="21">
        <f t="shared" si="3"/>
        <v>1000</v>
      </c>
      <c r="I25" s="21">
        <v>1000</v>
      </c>
      <c r="J25" s="21"/>
      <c r="K25" s="145">
        <v>238.0952380952381</v>
      </c>
      <c r="L25" s="145">
        <v>480.15873015873018</v>
      </c>
      <c r="M25" s="145">
        <v>742.06349206349205</v>
      </c>
      <c r="N25" s="145">
        <f t="shared" si="7"/>
        <v>1000</v>
      </c>
    </row>
    <row r="26" spans="1:14" x14ac:dyDescent="0.25">
      <c r="A26" s="151"/>
      <c r="B26" s="64"/>
      <c r="C26" s="64"/>
      <c r="D26" s="64"/>
      <c r="E26" s="64"/>
      <c r="F26" s="71" t="s">
        <v>396</v>
      </c>
      <c r="G26" s="64">
        <v>4222</v>
      </c>
      <c r="H26" s="21">
        <f t="shared" si="3"/>
        <v>1000</v>
      </c>
      <c r="I26" s="21">
        <v>1000</v>
      </c>
      <c r="J26" s="21"/>
      <c r="K26" s="145">
        <v>238.0952380952381</v>
      </c>
      <c r="L26" s="145">
        <v>480.15873015873018</v>
      </c>
      <c r="M26" s="145">
        <v>742.06349206349205</v>
      </c>
      <c r="N26" s="145">
        <f t="shared" si="7"/>
        <v>1000</v>
      </c>
    </row>
    <row r="27" spans="1:14" x14ac:dyDescent="0.25">
      <c r="A27" s="151"/>
      <c r="B27" s="64"/>
      <c r="C27" s="64"/>
      <c r="D27" s="64"/>
      <c r="E27" s="64"/>
      <c r="F27" s="71" t="s">
        <v>860</v>
      </c>
      <c r="G27" s="64" t="s">
        <v>35</v>
      </c>
      <c r="H27" s="21">
        <f t="shared" si="3"/>
        <v>18000</v>
      </c>
      <c r="I27" s="21">
        <v>18000</v>
      </c>
      <c r="J27" s="21"/>
      <c r="K27" s="145">
        <v>4285.7142857142862</v>
      </c>
      <c r="L27" s="145">
        <v>8642.8571428571431</v>
      </c>
      <c r="M27" s="145">
        <v>13357.142857142857</v>
      </c>
      <c r="N27" s="145">
        <f t="shared" si="7"/>
        <v>18000</v>
      </c>
    </row>
    <row r="28" spans="1:14" x14ac:dyDescent="0.25">
      <c r="A28" s="151"/>
      <c r="B28" s="64"/>
      <c r="C28" s="64"/>
      <c r="D28" s="64"/>
      <c r="E28" s="64"/>
      <c r="F28" s="71" t="s">
        <v>164</v>
      </c>
      <c r="G28" s="64">
        <v>4234</v>
      </c>
      <c r="H28" s="21">
        <f t="shared" si="3"/>
        <v>6669</v>
      </c>
      <c r="I28" s="21">
        <v>6669</v>
      </c>
      <c r="J28" s="21"/>
      <c r="K28" s="145">
        <v>1961.0571428571429</v>
      </c>
      <c r="L28" s="145">
        <v>3575.3785714285714</v>
      </c>
      <c r="M28" s="145">
        <v>5322.0214285714283</v>
      </c>
      <c r="N28" s="145">
        <f t="shared" si="7"/>
        <v>6669</v>
      </c>
    </row>
    <row r="29" spans="1:14" x14ac:dyDescent="0.25">
      <c r="A29" s="151"/>
      <c r="B29" s="64"/>
      <c r="C29" s="64"/>
      <c r="D29" s="64"/>
      <c r="E29" s="64"/>
      <c r="F29" s="71" t="s">
        <v>165</v>
      </c>
      <c r="G29" s="64">
        <v>4237</v>
      </c>
      <c r="H29" s="21">
        <f t="shared" si="3"/>
        <v>16308.2</v>
      </c>
      <c r="I29" s="21">
        <v>16308.2</v>
      </c>
      <c r="J29" s="21"/>
      <c r="K29" s="145">
        <v>4191.1047619047613</v>
      </c>
      <c r="L29" s="145">
        <v>8138.7246031746026</v>
      </c>
      <c r="M29" s="145">
        <v>12409.919841269841</v>
      </c>
      <c r="N29" s="145">
        <f t="shared" si="7"/>
        <v>16308.2</v>
      </c>
    </row>
    <row r="30" spans="1:14" x14ac:dyDescent="0.25">
      <c r="A30" s="151"/>
      <c r="B30" s="64"/>
      <c r="C30" s="64"/>
      <c r="D30" s="64"/>
      <c r="E30" s="64"/>
      <c r="F30" s="71" t="s">
        <v>166</v>
      </c>
      <c r="G30" s="64">
        <v>4239</v>
      </c>
      <c r="H30" s="21">
        <f t="shared" si="3"/>
        <v>11291.1</v>
      </c>
      <c r="I30" s="21">
        <v>11291.1</v>
      </c>
      <c r="J30" s="21"/>
      <c r="K30" s="145">
        <v>2265.1714285714288</v>
      </c>
      <c r="L30" s="145">
        <v>4408.3726190479656</v>
      </c>
      <c r="M30" s="145">
        <v>9443.6226190476209</v>
      </c>
      <c r="N30" s="145">
        <f t="shared" si="7"/>
        <v>11291.1</v>
      </c>
    </row>
    <row r="31" spans="1:14" x14ac:dyDescent="0.25">
      <c r="A31" s="151"/>
      <c r="B31" s="64"/>
      <c r="C31" s="64"/>
      <c r="D31" s="64"/>
      <c r="E31" s="64"/>
      <c r="F31" s="71" t="s">
        <v>167</v>
      </c>
      <c r="G31" s="64">
        <v>4241</v>
      </c>
      <c r="H31" s="21">
        <f t="shared" si="3"/>
        <v>24167.3</v>
      </c>
      <c r="I31" s="21">
        <v>24167.3</v>
      </c>
      <c r="J31" s="21"/>
      <c r="K31" s="145">
        <v>6969.0380952380947</v>
      </c>
      <c r="L31" s="145">
        <v>11850.805158730156</v>
      </c>
      <c r="M31" s="145">
        <v>21132.717063492099</v>
      </c>
      <c r="N31" s="145">
        <f t="shared" si="7"/>
        <v>24167.3</v>
      </c>
    </row>
    <row r="32" spans="1:14" ht="27" x14ac:dyDescent="0.25">
      <c r="A32" s="151"/>
      <c r="B32" s="64"/>
      <c r="C32" s="64"/>
      <c r="D32" s="64"/>
      <c r="E32" s="64"/>
      <c r="F32" s="71" t="s">
        <v>861</v>
      </c>
      <c r="G32" s="64" t="s">
        <v>42</v>
      </c>
      <c r="H32" s="21">
        <f t="shared" si="3"/>
        <v>0</v>
      </c>
      <c r="I32" s="21">
        <v>0</v>
      </c>
      <c r="J32" s="21"/>
      <c r="K32" s="145">
        <v>0</v>
      </c>
      <c r="L32" s="145">
        <v>0</v>
      </c>
      <c r="M32" s="145">
        <v>0</v>
      </c>
      <c r="N32" s="145">
        <f t="shared" si="7"/>
        <v>0</v>
      </c>
    </row>
    <row r="33" spans="1:16" ht="27" x14ac:dyDescent="0.25">
      <c r="A33" s="151"/>
      <c r="B33" s="64"/>
      <c r="C33" s="64"/>
      <c r="D33" s="64"/>
      <c r="E33" s="64"/>
      <c r="F33" s="71" t="s">
        <v>411</v>
      </c>
      <c r="G33" s="64">
        <v>4252</v>
      </c>
      <c r="H33" s="21">
        <f t="shared" si="3"/>
        <v>2000</v>
      </c>
      <c r="I33" s="21">
        <v>2000</v>
      </c>
      <c r="J33" s="21"/>
      <c r="K33" s="145">
        <v>476.1904761904762</v>
      </c>
      <c r="L33" s="145">
        <v>960.31746031746036</v>
      </c>
      <c r="M33" s="145">
        <v>1484.1269841269841</v>
      </c>
      <c r="N33" s="145">
        <f t="shared" si="7"/>
        <v>2000</v>
      </c>
      <c r="P33" s="151"/>
    </row>
    <row r="34" spans="1:16" x14ac:dyDescent="0.25">
      <c r="A34" s="151"/>
      <c r="B34" s="64"/>
      <c r="C34" s="64"/>
      <c r="D34" s="64"/>
      <c r="E34" s="64"/>
      <c r="F34" s="71" t="s">
        <v>413</v>
      </c>
      <c r="G34" s="64">
        <v>4261</v>
      </c>
      <c r="H34" s="21">
        <f t="shared" si="3"/>
        <v>5000</v>
      </c>
      <c r="I34" s="21">
        <v>5000</v>
      </c>
      <c r="J34" s="21"/>
      <c r="K34" s="145">
        <v>1190.4761904761906</v>
      </c>
      <c r="L34" s="145">
        <v>2400.7936507936511</v>
      </c>
      <c r="M34" s="145">
        <v>3710.3174603174602</v>
      </c>
      <c r="N34" s="145">
        <f t="shared" si="7"/>
        <v>5000</v>
      </c>
    </row>
    <row r="35" spans="1:16" x14ac:dyDescent="0.25">
      <c r="A35" s="151"/>
      <c r="B35" s="64"/>
      <c r="C35" s="64"/>
      <c r="D35" s="64"/>
      <c r="E35" s="64"/>
      <c r="F35" s="71" t="s">
        <v>168</v>
      </c>
      <c r="G35" s="64">
        <v>4264</v>
      </c>
      <c r="H35" s="21">
        <f t="shared" si="3"/>
        <v>22210.1</v>
      </c>
      <c r="I35" s="21">
        <v>22210.1</v>
      </c>
      <c r="J35" s="21"/>
      <c r="K35" s="145">
        <v>6450.6</v>
      </c>
      <c r="L35" s="145">
        <v>12795.108333333334</v>
      </c>
      <c r="M35" s="145">
        <v>15659.6583333333</v>
      </c>
      <c r="N35" s="145">
        <f t="shared" si="7"/>
        <v>22210.1</v>
      </c>
    </row>
    <row r="36" spans="1:16" x14ac:dyDescent="0.25">
      <c r="A36" s="151"/>
      <c r="B36" s="64"/>
      <c r="C36" s="64"/>
      <c r="D36" s="64"/>
      <c r="E36" s="64"/>
      <c r="F36" s="71" t="s">
        <v>169</v>
      </c>
      <c r="G36" s="64">
        <v>4269</v>
      </c>
      <c r="H36" s="21">
        <f t="shared" si="3"/>
        <v>11159.9</v>
      </c>
      <c r="I36" s="21">
        <v>11159.9</v>
      </c>
      <c r="J36" s="21"/>
      <c r="K36" s="145">
        <v>3317.0190476190478</v>
      </c>
      <c r="L36" s="145">
        <v>6018.423412698412</v>
      </c>
      <c r="M36" s="145">
        <v>8941.254365079365</v>
      </c>
      <c r="N36" s="145">
        <f t="shared" si="7"/>
        <v>11159.9</v>
      </c>
    </row>
    <row r="37" spans="1:16" ht="40.5" customHeight="1" x14ac:dyDescent="0.25">
      <c r="A37" s="151"/>
      <c r="B37" s="64"/>
      <c r="C37" s="64"/>
      <c r="D37" s="64"/>
      <c r="E37" s="64"/>
      <c r="F37" s="71" t="s">
        <v>170</v>
      </c>
      <c r="G37" s="64">
        <v>4823</v>
      </c>
      <c r="H37" s="21">
        <f t="shared" si="3"/>
        <v>4550</v>
      </c>
      <c r="I37" s="21">
        <v>4550</v>
      </c>
      <c r="J37" s="21"/>
      <c r="K37" s="145">
        <v>1133.3333333333335</v>
      </c>
      <c r="L37" s="145">
        <v>2234.7222222222226</v>
      </c>
      <c r="M37" s="145">
        <v>3426.3888888888891</v>
      </c>
      <c r="N37" s="145">
        <f t="shared" si="7"/>
        <v>4550</v>
      </c>
    </row>
    <row r="38" spans="1:16" x14ac:dyDescent="0.25">
      <c r="A38" s="151"/>
      <c r="B38" s="64"/>
      <c r="C38" s="64"/>
      <c r="D38" s="64"/>
      <c r="E38" s="64"/>
      <c r="F38" s="71" t="s">
        <v>171</v>
      </c>
      <c r="G38" s="64">
        <v>4861</v>
      </c>
      <c r="H38" s="21">
        <v>0</v>
      </c>
      <c r="I38" s="21"/>
      <c r="J38" s="21"/>
      <c r="K38" s="145">
        <v>0</v>
      </c>
      <c r="L38" s="145">
        <v>0</v>
      </c>
      <c r="M38" s="145">
        <v>0</v>
      </c>
      <c r="N38" s="145">
        <f t="shared" si="7"/>
        <v>0</v>
      </c>
    </row>
    <row r="39" spans="1:16" x14ac:dyDescent="0.25">
      <c r="A39" s="151"/>
      <c r="B39" s="64"/>
      <c r="C39" s="64"/>
      <c r="D39" s="64"/>
      <c r="E39" s="64"/>
      <c r="F39" s="71" t="s">
        <v>172</v>
      </c>
      <c r="G39" s="64">
        <v>5111</v>
      </c>
      <c r="H39" s="21">
        <v>0</v>
      </c>
      <c r="I39" s="21"/>
      <c r="J39" s="21"/>
      <c r="K39" s="145">
        <v>0</v>
      </c>
      <c r="L39" s="145">
        <v>0</v>
      </c>
      <c r="M39" s="145">
        <v>0</v>
      </c>
      <c r="N39" s="145">
        <f t="shared" si="7"/>
        <v>0</v>
      </c>
    </row>
    <row r="40" spans="1:16" ht="27" x14ac:dyDescent="0.25">
      <c r="A40" s="151"/>
      <c r="B40" s="64"/>
      <c r="C40" s="64"/>
      <c r="D40" s="64"/>
      <c r="E40" s="64"/>
      <c r="F40" s="71" t="s">
        <v>606</v>
      </c>
      <c r="G40" s="64" t="s">
        <v>92</v>
      </c>
      <c r="H40" s="21">
        <f t="shared" ref="H40:H46" si="9">SUM(I40:J40)</f>
        <v>6317.3</v>
      </c>
      <c r="I40" s="21"/>
      <c r="J40" s="21">
        <v>6317.3</v>
      </c>
      <c r="K40" s="145">
        <v>6317.3</v>
      </c>
      <c r="L40" s="145">
        <v>6317.3</v>
      </c>
      <c r="M40" s="145">
        <v>6317.3</v>
      </c>
      <c r="N40" s="145">
        <f t="shared" si="7"/>
        <v>6317.3</v>
      </c>
    </row>
    <row r="41" spans="1:16" x14ac:dyDescent="0.25">
      <c r="A41" s="151"/>
      <c r="B41" s="64"/>
      <c r="C41" s="64"/>
      <c r="D41" s="64"/>
      <c r="E41" s="64"/>
      <c r="F41" s="73" t="s">
        <v>174</v>
      </c>
      <c r="G41" s="64">
        <v>5121</v>
      </c>
      <c r="H41" s="21">
        <f t="shared" si="9"/>
        <v>0</v>
      </c>
      <c r="I41" s="21"/>
      <c r="J41" s="21"/>
      <c r="K41" s="145">
        <v>0</v>
      </c>
      <c r="L41" s="145">
        <v>0</v>
      </c>
      <c r="M41" s="145">
        <v>0</v>
      </c>
      <c r="N41" s="145">
        <f t="shared" si="7"/>
        <v>0</v>
      </c>
    </row>
    <row r="42" spans="1:16" ht="40.5" customHeight="1" x14ac:dyDescent="0.25">
      <c r="A42" s="151"/>
      <c r="B42" s="64"/>
      <c r="C42" s="64"/>
      <c r="D42" s="64"/>
      <c r="E42" s="64"/>
      <c r="F42" s="71" t="s">
        <v>175</v>
      </c>
      <c r="G42" s="64">
        <v>5122</v>
      </c>
      <c r="H42" s="21">
        <f t="shared" si="9"/>
        <v>45000</v>
      </c>
      <c r="I42" s="21"/>
      <c r="J42" s="21">
        <f>15000+15000+15000</f>
        <v>45000</v>
      </c>
      <c r="K42" s="145">
        <v>2380.9523809523812</v>
      </c>
      <c r="L42" s="145">
        <v>4801.5873015873021</v>
      </c>
      <c r="M42" s="145">
        <f>27420.6349206349+15000</f>
        <v>42420.634920634897</v>
      </c>
      <c r="N42" s="145">
        <f t="shared" si="7"/>
        <v>45000</v>
      </c>
    </row>
    <row r="43" spans="1:16" ht="48.75" customHeight="1" x14ac:dyDescent="0.25">
      <c r="A43" s="151"/>
      <c r="B43" s="64"/>
      <c r="C43" s="64"/>
      <c r="D43" s="64"/>
      <c r="E43" s="64"/>
      <c r="F43" s="71" t="s">
        <v>605</v>
      </c>
      <c r="G43" s="64">
        <v>5132</v>
      </c>
      <c r="H43" s="21">
        <f t="shared" si="9"/>
        <v>0</v>
      </c>
      <c r="I43" s="21"/>
      <c r="J43" s="21"/>
      <c r="K43" s="145">
        <v>0</v>
      </c>
      <c r="L43" s="145">
        <v>0</v>
      </c>
      <c r="M43" s="145">
        <v>0</v>
      </c>
      <c r="N43" s="145">
        <f t="shared" si="7"/>
        <v>0</v>
      </c>
    </row>
    <row r="44" spans="1:16" x14ac:dyDescent="0.25">
      <c r="A44" s="151"/>
      <c r="B44" s="64"/>
      <c r="C44" s="64"/>
      <c r="D44" s="64"/>
      <c r="E44" s="64"/>
      <c r="F44" s="71" t="s">
        <v>549</v>
      </c>
      <c r="G44" s="64">
        <v>5129</v>
      </c>
      <c r="H44" s="21">
        <f t="shared" si="9"/>
        <v>611.9</v>
      </c>
      <c r="I44" s="21"/>
      <c r="J44" s="21">
        <v>611.9</v>
      </c>
      <c r="K44" s="145">
        <v>611.9</v>
      </c>
      <c r="L44" s="145">
        <v>611.9</v>
      </c>
      <c r="M44" s="145">
        <v>611.9</v>
      </c>
      <c r="N44" s="145">
        <f t="shared" si="7"/>
        <v>611.9</v>
      </c>
    </row>
    <row r="45" spans="1:16" x14ac:dyDescent="0.25">
      <c r="A45" s="151"/>
      <c r="B45" s="64"/>
      <c r="C45" s="64"/>
      <c r="D45" s="64"/>
      <c r="E45" s="64"/>
      <c r="F45" s="71" t="s">
        <v>592</v>
      </c>
      <c r="G45" s="64" t="s">
        <v>96</v>
      </c>
      <c r="H45" s="21">
        <f t="shared" si="9"/>
        <v>0</v>
      </c>
      <c r="I45" s="21"/>
      <c r="J45" s="21"/>
      <c r="K45" s="145">
        <v>0</v>
      </c>
      <c r="L45" s="145">
        <v>0</v>
      </c>
      <c r="M45" s="145">
        <v>0</v>
      </c>
      <c r="N45" s="145">
        <f t="shared" si="7"/>
        <v>0</v>
      </c>
    </row>
    <row r="46" spans="1:16" x14ac:dyDescent="0.25">
      <c r="A46" s="151"/>
      <c r="B46" s="64"/>
      <c r="C46" s="64"/>
      <c r="D46" s="64"/>
      <c r="E46" s="64"/>
      <c r="F46" s="71" t="s">
        <v>755</v>
      </c>
      <c r="G46" s="64" t="s">
        <v>99</v>
      </c>
      <c r="H46" s="21">
        <f t="shared" si="9"/>
        <v>0</v>
      </c>
      <c r="I46" s="21"/>
      <c r="J46" s="21"/>
      <c r="K46" s="145">
        <v>0</v>
      </c>
      <c r="L46" s="145">
        <v>0</v>
      </c>
      <c r="M46" s="145">
        <v>0</v>
      </c>
      <c r="N46" s="145">
        <f t="shared" si="7"/>
        <v>0</v>
      </c>
    </row>
    <row r="47" spans="1:16" ht="27" x14ac:dyDescent="0.25">
      <c r="A47" s="151"/>
      <c r="B47" s="64">
        <v>2112</v>
      </c>
      <c r="C47" s="64" t="s">
        <v>2</v>
      </c>
      <c r="D47" s="64">
        <v>1</v>
      </c>
      <c r="E47" s="64">
        <v>2</v>
      </c>
      <c r="F47" s="71" t="s">
        <v>176</v>
      </c>
      <c r="G47" s="64"/>
      <c r="H47" s="21"/>
      <c r="I47" s="21"/>
      <c r="J47" s="21"/>
      <c r="K47" s="21"/>
      <c r="L47" s="21"/>
      <c r="M47" s="21"/>
      <c r="N47" s="21"/>
    </row>
    <row r="48" spans="1:16" ht="40.5" x14ac:dyDescent="0.25">
      <c r="A48" s="151"/>
      <c r="B48" s="64"/>
      <c r="C48" s="64"/>
      <c r="D48" s="64"/>
      <c r="E48" s="64"/>
      <c r="F48" s="71" t="s">
        <v>177</v>
      </c>
      <c r="G48" s="64"/>
      <c r="H48" s="21"/>
      <c r="I48" s="21"/>
      <c r="J48" s="21"/>
      <c r="K48" s="21"/>
      <c r="L48" s="21"/>
      <c r="M48" s="21"/>
      <c r="N48" s="21"/>
    </row>
    <row r="49" spans="1:14" ht="49.5" customHeight="1" x14ac:dyDescent="0.25">
      <c r="A49" s="151"/>
      <c r="B49" s="64"/>
      <c r="C49" s="64"/>
      <c r="D49" s="64"/>
      <c r="E49" s="64"/>
      <c r="F49" s="212"/>
      <c r="G49" s="64"/>
      <c r="H49" s="21"/>
      <c r="I49" s="21"/>
      <c r="J49" s="21"/>
      <c r="K49" s="21"/>
      <c r="L49" s="21"/>
      <c r="M49" s="21"/>
      <c r="N49" s="21"/>
    </row>
    <row r="50" spans="1:14" x14ac:dyDescent="0.25">
      <c r="A50" s="151"/>
      <c r="B50" s="64">
        <v>2113</v>
      </c>
      <c r="C50" s="64" t="s">
        <v>2</v>
      </c>
      <c r="D50" s="64">
        <v>1</v>
      </c>
      <c r="E50" s="64">
        <v>3</v>
      </c>
      <c r="F50" s="212"/>
      <c r="G50" s="64"/>
      <c r="H50" s="21"/>
      <c r="I50" s="21"/>
      <c r="J50" s="21"/>
      <c r="K50" s="21"/>
      <c r="L50" s="21"/>
      <c r="M50" s="21"/>
      <c r="N50" s="21"/>
    </row>
    <row r="51" spans="1:14" x14ac:dyDescent="0.25">
      <c r="A51" s="151"/>
      <c r="B51" s="64"/>
      <c r="C51" s="64"/>
      <c r="D51" s="64"/>
      <c r="E51" s="64"/>
      <c r="F51" s="71" t="s">
        <v>183</v>
      </c>
      <c r="G51" s="64"/>
      <c r="H51" s="21"/>
      <c r="I51" s="21"/>
      <c r="J51" s="21"/>
      <c r="K51" s="21"/>
      <c r="L51" s="21"/>
      <c r="M51" s="21"/>
      <c r="N51" s="21"/>
    </row>
    <row r="52" spans="1:14" ht="40.5" x14ac:dyDescent="0.25">
      <c r="A52" s="151"/>
      <c r="B52" s="64"/>
      <c r="C52" s="64"/>
      <c r="D52" s="64"/>
      <c r="E52" s="64"/>
      <c r="F52" s="71" t="s">
        <v>177</v>
      </c>
      <c r="G52" s="64"/>
      <c r="H52" s="21"/>
      <c r="I52" s="21"/>
      <c r="J52" s="21"/>
      <c r="K52" s="21"/>
      <c r="L52" s="21"/>
      <c r="M52" s="21"/>
      <c r="N52" s="21"/>
    </row>
    <row r="53" spans="1:14" x14ac:dyDescent="0.25">
      <c r="A53" s="151"/>
      <c r="B53" s="64"/>
      <c r="C53" s="64"/>
      <c r="D53" s="64"/>
      <c r="E53" s="64"/>
      <c r="F53" s="71" t="s">
        <v>184</v>
      </c>
      <c r="G53" s="64"/>
      <c r="H53" s="21"/>
      <c r="I53" s="21"/>
      <c r="J53" s="21"/>
      <c r="K53" s="21"/>
      <c r="L53" s="21"/>
      <c r="M53" s="21"/>
      <c r="N53" s="21"/>
    </row>
    <row r="54" spans="1:14" x14ac:dyDescent="0.25">
      <c r="A54" s="151"/>
      <c r="B54" s="64">
        <v>2120</v>
      </c>
      <c r="C54" s="64" t="s">
        <v>2</v>
      </c>
      <c r="D54" s="64">
        <v>2</v>
      </c>
      <c r="E54" s="64">
        <v>0</v>
      </c>
      <c r="F54" s="71" t="s">
        <v>156</v>
      </c>
      <c r="G54" s="64"/>
      <c r="H54" s="21"/>
      <c r="I54" s="21"/>
      <c r="J54" s="21"/>
      <c r="K54" s="21"/>
      <c r="L54" s="21"/>
      <c r="M54" s="21"/>
      <c r="N54" s="21"/>
    </row>
    <row r="55" spans="1:14" ht="53.25" customHeight="1" x14ac:dyDescent="0.25">
      <c r="A55" s="151"/>
      <c r="B55" s="64"/>
      <c r="C55" s="64"/>
      <c r="D55" s="64"/>
      <c r="E55" s="64"/>
      <c r="F55" s="212" t="s">
        <v>184</v>
      </c>
      <c r="G55" s="64"/>
      <c r="H55" s="21"/>
      <c r="I55" s="21"/>
      <c r="J55" s="21"/>
      <c r="K55" s="21"/>
      <c r="L55" s="21"/>
      <c r="M55" s="21"/>
      <c r="N55" s="21"/>
    </row>
    <row r="56" spans="1:14" x14ac:dyDescent="0.25">
      <c r="A56" s="151"/>
      <c r="B56" s="64">
        <v>2121</v>
      </c>
      <c r="C56" s="64" t="s">
        <v>2</v>
      </c>
      <c r="D56" s="64">
        <v>2</v>
      </c>
      <c r="E56" s="64">
        <v>1</v>
      </c>
      <c r="F56" s="212" t="s">
        <v>186</v>
      </c>
      <c r="G56" s="64"/>
      <c r="H56" s="21"/>
      <c r="I56" s="21"/>
      <c r="J56" s="21"/>
      <c r="K56" s="21"/>
      <c r="L56" s="21"/>
      <c r="M56" s="21"/>
      <c r="N56" s="21"/>
    </row>
    <row r="57" spans="1:14" ht="51.75" customHeight="1" x14ac:dyDescent="0.25">
      <c r="A57" s="151"/>
      <c r="B57" s="64"/>
      <c r="C57" s="64"/>
      <c r="D57" s="64"/>
      <c r="E57" s="64"/>
      <c r="F57" s="71" t="s">
        <v>179</v>
      </c>
      <c r="G57" s="64"/>
      <c r="H57" s="21"/>
      <c r="I57" s="21"/>
      <c r="J57" s="21"/>
      <c r="K57" s="21"/>
      <c r="L57" s="21"/>
      <c r="M57" s="21"/>
      <c r="N57" s="21"/>
    </row>
    <row r="58" spans="1:14" ht="40.5" x14ac:dyDescent="0.25">
      <c r="A58" s="151"/>
      <c r="B58" s="64"/>
      <c r="C58" s="64"/>
      <c r="D58" s="64"/>
      <c r="E58" s="64"/>
      <c r="F58" s="71" t="s">
        <v>177</v>
      </c>
      <c r="G58" s="64"/>
      <c r="H58" s="21"/>
      <c r="I58" s="21"/>
      <c r="J58" s="21"/>
      <c r="K58" s="21"/>
      <c r="L58" s="21"/>
      <c r="M58" s="21"/>
      <c r="N58" s="21"/>
    </row>
    <row r="59" spans="1:14" ht="59.25" customHeight="1" x14ac:dyDescent="0.25">
      <c r="A59" s="151"/>
      <c r="B59" s="64"/>
      <c r="C59" s="64"/>
      <c r="D59" s="64"/>
      <c r="E59" s="64"/>
      <c r="F59" s="71" t="s">
        <v>180</v>
      </c>
      <c r="G59" s="64"/>
      <c r="H59" s="21"/>
      <c r="I59" s="21"/>
      <c r="J59" s="21"/>
      <c r="K59" s="21"/>
      <c r="L59" s="21"/>
      <c r="M59" s="21"/>
      <c r="N59" s="21"/>
    </row>
    <row r="60" spans="1:14" ht="40.5" x14ac:dyDescent="0.25">
      <c r="A60" s="151"/>
      <c r="B60" s="64">
        <v>2122</v>
      </c>
      <c r="C60" s="64" t="s">
        <v>2</v>
      </c>
      <c r="D60" s="64">
        <v>2</v>
      </c>
      <c r="E60" s="64">
        <v>2</v>
      </c>
      <c r="F60" s="71" t="s">
        <v>177</v>
      </c>
      <c r="G60" s="64"/>
      <c r="H60" s="21"/>
      <c r="I60" s="21"/>
      <c r="J60" s="21"/>
      <c r="K60" s="21"/>
      <c r="L60" s="21"/>
      <c r="M60" s="21"/>
      <c r="N60" s="21"/>
    </row>
    <row r="61" spans="1:14" ht="27" x14ac:dyDescent="0.25">
      <c r="A61" s="151"/>
      <c r="B61" s="64"/>
      <c r="C61" s="64"/>
      <c r="D61" s="64"/>
      <c r="E61" s="64"/>
      <c r="F61" s="71" t="s">
        <v>180</v>
      </c>
      <c r="G61" s="64"/>
      <c r="H61" s="21"/>
      <c r="I61" s="21"/>
      <c r="J61" s="21"/>
      <c r="K61" s="21"/>
      <c r="L61" s="21"/>
      <c r="M61" s="21"/>
      <c r="N61" s="21"/>
    </row>
    <row r="62" spans="1:14" ht="40.5" x14ac:dyDescent="0.25">
      <c r="A62" s="151"/>
      <c r="B62" s="64"/>
      <c r="C62" s="64"/>
      <c r="D62" s="64"/>
      <c r="E62" s="64"/>
      <c r="F62" s="71" t="s">
        <v>567</v>
      </c>
      <c r="G62" s="64"/>
      <c r="H62" s="21"/>
      <c r="I62" s="21"/>
      <c r="J62" s="21"/>
      <c r="K62" s="21"/>
      <c r="L62" s="21"/>
      <c r="M62" s="21"/>
      <c r="N62" s="21"/>
    </row>
    <row r="63" spans="1:14" x14ac:dyDescent="0.25">
      <c r="A63" s="151"/>
      <c r="B63" s="64"/>
      <c r="C63" s="64"/>
      <c r="D63" s="64"/>
      <c r="E63" s="64"/>
      <c r="F63" s="71" t="s">
        <v>178</v>
      </c>
      <c r="G63" s="64"/>
      <c r="H63" s="21"/>
      <c r="I63" s="21"/>
      <c r="J63" s="21"/>
      <c r="K63" s="21"/>
      <c r="L63" s="21"/>
      <c r="M63" s="21"/>
      <c r="N63" s="21"/>
    </row>
    <row r="64" spans="1:14" ht="36.75" customHeight="1" x14ac:dyDescent="0.25">
      <c r="A64" s="151"/>
      <c r="B64" s="64">
        <v>2130</v>
      </c>
      <c r="C64" s="64" t="s">
        <v>2</v>
      </c>
      <c r="D64" s="64">
        <v>3</v>
      </c>
      <c r="E64" s="64">
        <v>0</v>
      </c>
      <c r="F64" s="71" t="s">
        <v>194</v>
      </c>
      <c r="G64" s="64"/>
      <c r="H64" s="21">
        <f>H66+H70+H74</f>
        <v>0</v>
      </c>
      <c r="I64" s="21">
        <f t="shared" ref="I64:J64" si="10">I66+I70+I74</f>
        <v>0</v>
      </c>
      <c r="J64" s="21">
        <f t="shared" si="10"/>
        <v>0</v>
      </c>
      <c r="K64" s="21">
        <f>K66+K73+K77</f>
        <v>0</v>
      </c>
      <c r="L64" s="21">
        <f>L66+L73+L77</f>
        <v>0</v>
      </c>
      <c r="M64" s="21">
        <f>M66+M73+M77</f>
        <v>0</v>
      </c>
      <c r="N64" s="21">
        <f>N66+N73+N77</f>
        <v>0</v>
      </c>
    </row>
    <row r="65" spans="1:14" ht="47.25" customHeight="1" x14ac:dyDescent="0.25">
      <c r="A65" s="151"/>
      <c r="B65" s="64"/>
      <c r="C65" s="64"/>
      <c r="D65" s="64"/>
      <c r="E65" s="64"/>
      <c r="F65" s="71" t="s">
        <v>568</v>
      </c>
      <c r="G65" s="64"/>
      <c r="H65" s="21"/>
      <c r="I65" s="21"/>
      <c r="J65" s="21"/>
      <c r="K65" s="21"/>
      <c r="L65" s="21"/>
      <c r="M65" s="21"/>
      <c r="N65" s="21"/>
    </row>
    <row r="66" spans="1:14" ht="27" x14ac:dyDescent="0.25">
      <c r="A66" s="151"/>
      <c r="B66" s="64">
        <v>2131</v>
      </c>
      <c r="C66" s="64" t="s">
        <v>2</v>
      </c>
      <c r="D66" s="64">
        <v>3</v>
      </c>
      <c r="E66" s="64">
        <v>1</v>
      </c>
      <c r="F66" s="71" t="s">
        <v>195</v>
      </c>
      <c r="G66" s="64"/>
      <c r="H66" s="21"/>
      <c r="I66" s="21"/>
      <c r="J66" s="21"/>
      <c r="K66" s="21"/>
      <c r="L66" s="21"/>
      <c r="M66" s="21"/>
      <c r="N66" s="21"/>
    </row>
    <row r="67" spans="1:14" ht="40.5" x14ac:dyDescent="0.25">
      <c r="A67" s="151"/>
      <c r="B67" s="64"/>
      <c r="C67" s="64"/>
      <c r="D67" s="64"/>
      <c r="E67" s="64"/>
      <c r="F67" s="71" t="s">
        <v>567</v>
      </c>
      <c r="G67" s="64"/>
      <c r="H67" s="21"/>
      <c r="I67" s="21"/>
      <c r="J67" s="21"/>
      <c r="K67" s="21"/>
      <c r="L67" s="21"/>
      <c r="M67" s="21"/>
      <c r="N67" s="21"/>
    </row>
    <row r="68" spans="1:14" ht="34.5" customHeight="1" x14ac:dyDescent="0.25">
      <c r="A68" s="151"/>
      <c r="B68" s="64"/>
      <c r="C68" s="64"/>
      <c r="D68" s="64"/>
      <c r="E68" s="64"/>
      <c r="F68" s="71" t="s">
        <v>178</v>
      </c>
      <c r="G68" s="64"/>
      <c r="H68" s="21"/>
      <c r="I68" s="21"/>
      <c r="J68" s="21"/>
      <c r="K68" s="21"/>
      <c r="L68" s="21"/>
      <c r="M68" s="21"/>
      <c r="N68" s="21"/>
    </row>
    <row r="69" spans="1:14" ht="51" customHeight="1" x14ac:dyDescent="0.25">
      <c r="A69" s="151"/>
      <c r="B69" s="64"/>
      <c r="C69" s="64"/>
      <c r="D69" s="64"/>
      <c r="E69" s="64"/>
      <c r="F69" s="71" t="s">
        <v>178</v>
      </c>
      <c r="G69" s="64"/>
      <c r="H69" s="21"/>
      <c r="I69" s="21"/>
      <c r="J69" s="21"/>
      <c r="K69" s="21"/>
      <c r="L69" s="21"/>
      <c r="M69" s="21"/>
      <c r="N69" s="21"/>
    </row>
    <row r="70" spans="1:14" ht="27" x14ac:dyDescent="0.25">
      <c r="A70" s="151"/>
      <c r="B70" s="64">
        <v>2132</v>
      </c>
      <c r="C70" s="64" t="s">
        <v>2</v>
      </c>
      <c r="D70" s="64">
        <v>3</v>
      </c>
      <c r="E70" s="64">
        <v>2</v>
      </c>
      <c r="F70" s="71" t="s">
        <v>196</v>
      </c>
      <c r="G70" s="64"/>
      <c r="H70" s="21"/>
      <c r="I70" s="21"/>
      <c r="J70" s="21"/>
      <c r="K70" s="21"/>
      <c r="L70" s="21"/>
      <c r="M70" s="21"/>
      <c r="N70" s="21"/>
    </row>
    <row r="71" spans="1:14" ht="40.5" x14ac:dyDescent="0.25">
      <c r="A71" s="151"/>
      <c r="B71" s="64"/>
      <c r="C71" s="64"/>
      <c r="D71" s="64"/>
      <c r="E71" s="64"/>
      <c r="F71" s="71" t="s">
        <v>177</v>
      </c>
      <c r="G71" s="64"/>
      <c r="H71" s="21"/>
      <c r="I71" s="21"/>
      <c r="J71" s="21"/>
      <c r="K71" s="21"/>
      <c r="L71" s="21"/>
      <c r="M71" s="21"/>
      <c r="N71" s="21"/>
    </row>
    <row r="72" spans="1:14" x14ac:dyDescent="0.25">
      <c r="A72" s="151"/>
      <c r="B72" s="64"/>
      <c r="C72" s="64"/>
      <c r="D72" s="64"/>
      <c r="E72" s="64"/>
      <c r="F72" s="71" t="s">
        <v>178</v>
      </c>
      <c r="G72" s="64"/>
      <c r="H72" s="21"/>
      <c r="I72" s="21"/>
      <c r="J72" s="21"/>
      <c r="K72" s="21"/>
      <c r="L72" s="21"/>
      <c r="M72" s="21"/>
      <c r="N72" s="21"/>
    </row>
    <row r="73" spans="1:14" ht="48.75" customHeight="1" x14ac:dyDescent="0.25">
      <c r="A73" s="151"/>
      <c r="B73" s="64"/>
      <c r="C73" s="64"/>
      <c r="D73" s="64"/>
      <c r="E73" s="64"/>
      <c r="F73" s="71" t="s">
        <v>178</v>
      </c>
      <c r="G73" s="64"/>
      <c r="H73" s="21"/>
      <c r="I73" s="21"/>
      <c r="J73" s="21"/>
      <c r="K73" s="21"/>
      <c r="L73" s="21"/>
      <c r="M73" s="21"/>
      <c r="N73" s="21"/>
    </row>
    <row r="74" spans="1:14" x14ac:dyDescent="0.25">
      <c r="A74" s="151"/>
      <c r="B74" s="64">
        <v>2133</v>
      </c>
      <c r="C74" s="64" t="s">
        <v>2</v>
      </c>
      <c r="D74" s="64">
        <v>3</v>
      </c>
      <c r="E74" s="64">
        <v>3</v>
      </c>
      <c r="F74" s="71" t="s">
        <v>197</v>
      </c>
      <c r="G74" s="64"/>
      <c r="H74" s="21">
        <f t="shared" ref="H74:N74" si="11">SUM(H76:H83)</f>
        <v>0</v>
      </c>
      <c r="I74" s="21">
        <f t="shared" si="11"/>
        <v>0</v>
      </c>
      <c r="J74" s="21">
        <f t="shared" si="11"/>
        <v>0</v>
      </c>
      <c r="K74" s="21">
        <f t="shared" si="11"/>
        <v>0</v>
      </c>
      <c r="L74" s="21">
        <f t="shared" si="11"/>
        <v>0</v>
      </c>
      <c r="M74" s="21">
        <f t="shared" si="11"/>
        <v>0</v>
      </c>
      <c r="N74" s="21">
        <f t="shared" si="11"/>
        <v>0</v>
      </c>
    </row>
    <row r="75" spans="1:14" ht="96" customHeight="1" x14ac:dyDescent="0.25">
      <c r="A75" s="151"/>
      <c r="B75" s="64"/>
      <c r="C75" s="64"/>
      <c r="D75" s="64"/>
      <c r="E75" s="64"/>
      <c r="F75" s="71" t="s">
        <v>177</v>
      </c>
      <c r="G75" s="64"/>
      <c r="H75" s="21"/>
      <c r="I75" s="21"/>
      <c r="J75" s="21"/>
      <c r="K75" s="21"/>
      <c r="L75" s="21"/>
      <c r="M75" s="21"/>
      <c r="N75" s="21"/>
    </row>
    <row r="76" spans="1:14" ht="27" x14ac:dyDescent="0.25">
      <c r="A76" s="151"/>
      <c r="B76" s="64"/>
      <c r="C76" s="64"/>
      <c r="D76" s="64"/>
      <c r="E76" s="64"/>
      <c r="F76" s="71" t="s">
        <v>158</v>
      </c>
      <c r="G76" s="64">
        <v>4111</v>
      </c>
      <c r="H76" s="21">
        <v>0</v>
      </c>
      <c r="I76" s="21">
        <f>+H76</f>
        <v>0</v>
      </c>
      <c r="J76" s="21"/>
      <c r="K76" s="84"/>
      <c r="L76" s="84"/>
      <c r="M76" s="84"/>
      <c r="N76" s="84"/>
    </row>
    <row r="77" spans="1:14" x14ac:dyDescent="0.25">
      <c r="A77" s="151"/>
      <c r="B77" s="64"/>
      <c r="C77" s="64"/>
      <c r="D77" s="64"/>
      <c r="E77" s="64"/>
      <c r="F77" s="71" t="s">
        <v>538</v>
      </c>
      <c r="G77" s="64">
        <v>4212</v>
      </c>
      <c r="H77" s="21">
        <v>0</v>
      </c>
      <c r="I77" s="21">
        <f t="shared" ref="I77:I83" si="12">+H77</f>
        <v>0</v>
      </c>
      <c r="J77" s="21"/>
      <c r="K77" s="84"/>
      <c r="L77" s="84"/>
      <c r="M77" s="84"/>
      <c r="N77" s="84"/>
    </row>
    <row r="78" spans="1:14" x14ac:dyDescent="0.25">
      <c r="A78" s="151"/>
      <c r="B78" s="64"/>
      <c r="C78" s="64"/>
      <c r="D78" s="64"/>
      <c r="E78" s="64"/>
      <c r="F78" s="71" t="s">
        <v>539</v>
      </c>
      <c r="G78" s="64">
        <v>4213</v>
      </c>
      <c r="H78" s="21">
        <v>0</v>
      </c>
      <c r="I78" s="21">
        <f t="shared" si="12"/>
        <v>0</v>
      </c>
      <c r="J78" s="21"/>
      <c r="K78" s="84"/>
      <c r="L78" s="84"/>
      <c r="M78" s="84"/>
      <c r="N78" s="84"/>
    </row>
    <row r="79" spans="1:14" x14ac:dyDescent="0.25">
      <c r="A79" s="151"/>
      <c r="B79" s="64"/>
      <c r="C79" s="64"/>
      <c r="D79" s="64"/>
      <c r="E79" s="64"/>
      <c r="F79" s="71" t="s">
        <v>540</v>
      </c>
      <c r="G79" s="64">
        <v>4214</v>
      </c>
      <c r="H79" s="21">
        <v>0</v>
      </c>
      <c r="I79" s="21">
        <f t="shared" si="12"/>
        <v>0</v>
      </c>
      <c r="J79" s="21"/>
      <c r="K79" s="84"/>
      <c r="L79" s="84"/>
      <c r="M79" s="84"/>
      <c r="N79" s="84"/>
    </row>
    <row r="80" spans="1:14" x14ac:dyDescent="0.25">
      <c r="A80" s="151"/>
      <c r="B80" s="64"/>
      <c r="C80" s="64"/>
      <c r="D80" s="64"/>
      <c r="E80" s="64"/>
      <c r="F80" s="71" t="s">
        <v>163</v>
      </c>
      <c r="G80" s="64" t="s">
        <v>748</v>
      </c>
      <c r="H80" s="21">
        <v>0</v>
      </c>
      <c r="I80" s="21">
        <f t="shared" si="12"/>
        <v>0</v>
      </c>
      <c r="J80" s="21"/>
      <c r="K80" s="84"/>
      <c r="L80" s="84"/>
      <c r="M80" s="84"/>
      <c r="N80" s="84"/>
    </row>
    <row r="81" spans="1:14" x14ac:dyDescent="0.25">
      <c r="A81" s="151"/>
      <c r="B81" s="64"/>
      <c r="C81" s="64"/>
      <c r="D81" s="64"/>
      <c r="E81" s="64"/>
      <c r="F81" s="71" t="s">
        <v>166</v>
      </c>
      <c r="G81" s="64">
        <v>4239</v>
      </c>
      <c r="H81" s="21">
        <v>0</v>
      </c>
      <c r="I81" s="21">
        <f t="shared" si="12"/>
        <v>0</v>
      </c>
      <c r="J81" s="21"/>
      <c r="K81" s="84"/>
      <c r="L81" s="84"/>
      <c r="M81" s="84"/>
      <c r="N81" s="84"/>
    </row>
    <row r="82" spans="1:14" x14ac:dyDescent="0.25">
      <c r="A82" s="151"/>
      <c r="B82" s="64"/>
      <c r="C82" s="64"/>
      <c r="D82" s="64"/>
      <c r="E82" s="64"/>
      <c r="F82" s="71" t="s">
        <v>413</v>
      </c>
      <c r="G82" s="64">
        <v>4261</v>
      </c>
      <c r="H82" s="21">
        <v>0</v>
      </c>
      <c r="I82" s="21">
        <f t="shared" si="12"/>
        <v>0</v>
      </c>
      <c r="J82" s="21"/>
      <c r="K82" s="84"/>
      <c r="L82" s="84"/>
      <c r="M82" s="84"/>
      <c r="N82" s="84"/>
    </row>
    <row r="83" spans="1:14" x14ac:dyDescent="0.25">
      <c r="A83" s="151"/>
      <c r="B83" s="64"/>
      <c r="C83" s="64"/>
      <c r="D83" s="64"/>
      <c r="E83" s="64"/>
      <c r="F83" s="71" t="s">
        <v>169</v>
      </c>
      <c r="G83" s="64" t="s">
        <v>51</v>
      </c>
      <c r="H83" s="21">
        <v>0</v>
      </c>
      <c r="I83" s="21">
        <f t="shared" si="12"/>
        <v>0</v>
      </c>
      <c r="J83" s="21"/>
      <c r="K83" s="84"/>
      <c r="L83" s="84"/>
      <c r="M83" s="84"/>
      <c r="N83" s="84"/>
    </row>
    <row r="84" spans="1:14" ht="36" customHeight="1" x14ac:dyDescent="0.25">
      <c r="A84" s="151"/>
      <c r="B84" s="64">
        <v>2140</v>
      </c>
      <c r="C84" s="64" t="s">
        <v>2</v>
      </c>
      <c r="D84" s="64">
        <v>4</v>
      </c>
      <c r="E84" s="64">
        <v>0</v>
      </c>
      <c r="F84" s="71" t="s">
        <v>198</v>
      </c>
      <c r="G84" s="64"/>
      <c r="H84" s="21"/>
      <c r="I84" s="21"/>
      <c r="J84" s="21"/>
      <c r="K84" s="21"/>
      <c r="L84" s="21"/>
      <c r="M84" s="21"/>
      <c r="N84" s="21"/>
    </row>
    <row r="85" spans="1:14" ht="47.25" customHeight="1" x14ac:dyDescent="0.25">
      <c r="A85" s="151"/>
      <c r="B85" s="64"/>
      <c r="C85" s="64"/>
      <c r="D85" s="64"/>
      <c r="E85" s="64"/>
      <c r="F85" s="71" t="s">
        <v>156</v>
      </c>
      <c r="G85" s="64"/>
      <c r="H85" s="21"/>
      <c r="I85" s="21"/>
      <c r="J85" s="21"/>
      <c r="K85" s="21"/>
      <c r="L85" s="21"/>
      <c r="M85" s="21"/>
      <c r="N85" s="21"/>
    </row>
    <row r="86" spans="1:14" x14ac:dyDescent="0.25">
      <c r="A86" s="151"/>
      <c r="B86" s="64">
        <v>2141</v>
      </c>
      <c r="C86" s="64" t="s">
        <v>2</v>
      </c>
      <c r="D86" s="64">
        <v>4</v>
      </c>
      <c r="E86" s="64">
        <v>1</v>
      </c>
      <c r="F86" s="71" t="s">
        <v>198</v>
      </c>
      <c r="G86" s="64"/>
      <c r="H86" s="21"/>
      <c r="I86" s="21"/>
      <c r="J86" s="21"/>
      <c r="K86" s="21"/>
      <c r="L86" s="21"/>
      <c r="M86" s="21"/>
      <c r="N86" s="21"/>
    </row>
    <row r="87" spans="1:14" ht="40.5" x14ac:dyDescent="0.25">
      <c r="A87" s="151"/>
      <c r="B87" s="64"/>
      <c r="C87" s="64"/>
      <c r="D87" s="64"/>
      <c r="E87" s="64"/>
      <c r="F87" s="71" t="s">
        <v>177</v>
      </c>
      <c r="G87" s="64"/>
      <c r="H87" s="21"/>
      <c r="I87" s="21"/>
      <c r="J87" s="21"/>
      <c r="K87" s="21"/>
      <c r="L87" s="21"/>
      <c r="M87" s="21"/>
      <c r="N87" s="21"/>
    </row>
    <row r="88" spans="1:14" ht="50.25" customHeight="1" x14ac:dyDescent="0.25">
      <c r="A88" s="151"/>
      <c r="B88" s="64"/>
      <c r="C88" s="64"/>
      <c r="D88" s="64"/>
      <c r="E88" s="64"/>
      <c r="F88" s="71" t="s">
        <v>178</v>
      </c>
      <c r="G88" s="64"/>
      <c r="H88" s="21"/>
      <c r="I88" s="21"/>
      <c r="J88" s="21"/>
      <c r="K88" s="21"/>
      <c r="L88" s="21"/>
      <c r="M88" s="21"/>
      <c r="N88" s="21"/>
    </row>
    <row r="89" spans="1:14" x14ac:dyDescent="0.25">
      <c r="A89" s="151"/>
      <c r="B89" s="64"/>
      <c r="C89" s="64"/>
      <c r="D89" s="64"/>
      <c r="E89" s="64"/>
      <c r="F89" s="71" t="s">
        <v>178</v>
      </c>
      <c r="G89" s="64"/>
      <c r="H89" s="21"/>
      <c r="I89" s="21"/>
      <c r="J89" s="21"/>
      <c r="K89" s="21"/>
      <c r="L89" s="21"/>
      <c r="M89" s="21"/>
      <c r="N89" s="21"/>
    </row>
    <row r="90" spans="1:14" ht="50.25" customHeight="1" x14ac:dyDescent="0.25">
      <c r="A90" s="151"/>
      <c r="B90" s="64">
        <v>2150</v>
      </c>
      <c r="C90" s="64" t="s">
        <v>2</v>
      </c>
      <c r="D90" s="64">
        <v>5</v>
      </c>
      <c r="E90" s="64">
        <v>0</v>
      </c>
      <c r="F90" s="71" t="s">
        <v>200</v>
      </c>
      <c r="G90" s="64"/>
      <c r="H90" s="21">
        <f t="shared" ref="H90:N90" si="13">H92</f>
        <v>23500</v>
      </c>
      <c r="I90" s="21">
        <f t="shared" si="13"/>
        <v>8000</v>
      </c>
      <c r="J90" s="21">
        <f t="shared" si="13"/>
        <v>15500</v>
      </c>
      <c r="K90" s="21">
        <f t="shared" si="13"/>
        <v>5595.2380952380954</v>
      </c>
      <c r="L90" s="21">
        <f t="shared" si="13"/>
        <v>11283.730158730159</v>
      </c>
      <c r="M90" s="21">
        <f t="shared" si="13"/>
        <v>17438.492063492064</v>
      </c>
      <c r="N90" s="21">
        <f t="shared" si="13"/>
        <v>23500</v>
      </c>
    </row>
    <row r="91" spans="1:14" ht="54" customHeight="1" x14ac:dyDescent="0.25">
      <c r="A91" s="151"/>
      <c r="B91" s="64"/>
      <c r="C91" s="64"/>
      <c r="D91" s="64"/>
      <c r="E91" s="64"/>
      <c r="F91" s="71" t="s">
        <v>156</v>
      </c>
      <c r="G91" s="64"/>
      <c r="H91" s="21"/>
      <c r="I91" s="21"/>
      <c r="J91" s="21"/>
      <c r="K91" s="21"/>
      <c r="L91" s="21"/>
      <c r="M91" s="21"/>
      <c r="N91" s="21"/>
    </row>
    <row r="92" spans="1:14" ht="40.5" x14ac:dyDescent="0.25">
      <c r="A92" s="151"/>
      <c r="B92" s="64">
        <v>2151</v>
      </c>
      <c r="C92" s="64" t="s">
        <v>2</v>
      </c>
      <c r="D92" s="64">
        <v>5</v>
      </c>
      <c r="E92" s="64">
        <v>1</v>
      </c>
      <c r="F92" s="71" t="s">
        <v>201</v>
      </c>
      <c r="G92" s="64"/>
      <c r="H92" s="21">
        <f t="shared" ref="H92:N92" si="14">H94+H95</f>
        <v>23500</v>
      </c>
      <c r="I92" s="21">
        <f t="shared" si="14"/>
        <v>8000</v>
      </c>
      <c r="J92" s="21">
        <f t="shared" si="14"/>
        <v>15500</v>
      </c>
      <c r="K92" s="21">
        <f t="shared" si="14"/>
        <v>5595.2380952380954</v>
      </c>
      <c r="L92" s="21">
        <f t="shared" si="14"/>
        <v>11283.730158730159</v>
      </c>
      <c r="M92" s="21">
        <f t="shared" si="14"/>
        <v>17438.492063492064</v>
      </c>
      <c r="N92" s="21">
        <f t="shared" si="14"/>
        <v>23500</v>
      </c>
    </row>
    <row r="93" spans="1:14" ht="40.5" x14ac:dyDescent="0.25">
      <c r="A93" s="151"/>
      <c r="B93" s="64"/>
      <c r="C93" s="64"/>
      <c r="D93" s="64"/>
      <c r="E93" s="64"/>
      <c r="F93" s="71" t="s">
        <v>177</v>
      </c>
      <c r="G93" s="64"/>
      <c r="H93" s="21"/>
      <c r="I93" s="21"/>
      <c r="J93" s="21"/>
      <c r="K93" s="21"/>
      <c r="L93" s="21"/>
      <c r="M93" s="21"/>
      <c r="N93" s="21"/>
    </row>
    <row r="94" spans="1:14" x14ac:dyDescent="0.25">
      <c r="A94" s="151"/>
      <c r="B94" s="64"/>
      <c r="C94" s="64"/>
      <c r="D94" s="64"/>
      <c r="E94" s="64"/>
      <c r="F94" s="71" t="s">
        <v>541</v>
      </c>
      <c r="G94" s="64">
        <v>4241</v>
      </c>
      <c r="H94" s="21">
        <f>+I94+J94</f>
        <v>8000</v>
      </c>
      <c r="I94" s="21">
        <f>5000+1000+2000</f>
        <v>8000</v>
      </c>
      <c r="J94" s="21"/>
      <c r="K94" s="145">
        <f t="shared" ref="K94:K95" si="15">+H94/252*60</f>
        <v>1904.7619047619048</v>
      </c>
      <c r="L94" s="145">
        <f t="shared" ref="L94:L95" si="16">+H94/252*121</f>
        <v>3841.2698412698414</v>
      </c>
      <c r="M94" s="145">
        <f t="shared" ref="M94:M95" si="17">+H94/252*187</f>
        <v>5936.5079365079364</v>
      </c>
      <c r="N94" s="145">
        <f t="shared" ref="N94:N95" si="18">+H94</f>
        <v>8000</v>
      </c>
    </row>
    <row r="95" spans="1:14" x14ac:dyDescent="0.25">
      <c r="A95" s="151"/>
      <c r="B95" s="64"/>
      <c r="C95" s="64"/>
      <c r="D95" s="64"/>
      <c r="E95" s="64"/>
      <c r="F95" s="71" t="s">
        <v>595</v>
      </c>
      <c r="G95" s="64">
        <v>5134</v>
      </c>
      <c r="H95" s="21">
        <f>+I95+J95</f>
        <v>15500</v>
      </c>
      <c r="I95" s="21"/>
      <c r="J95" s="21">
        <f>11500+4000</f>
        <v>15500</v>
      </c>
      <c r="K95" s="145">
        <f t="shared" si="15"/>
        <v>3690.4761904761904</v>
      </c>
      <c r="L95" s="145">
        <f t="shared" si="16"/>
        <v>7442.4603174603171</v>
      </c>
      <c r="M95" s="145">
        <f t="shared" si="17"/>
        <v>11501.984126984127</v>
      </c>
      <c r="N95" s="145">
        <f t="shared" si="18"/>
        <v>15500</v>
      </c>
    </row>
    <row r="96" spans="1:14" x14ac:dyDescent="0.25">
      <c r="A96" s="151"/>
      <c r="B96" s="64"/>
      <c r="C96" s="64"/>
      <c r="D96" s="64"/>
      <c r="E96" s="64"/>
      <c r="F96" s="71" t="s">
        <v>178</v>
      </c>
      <c r="G96" s="64"/>
      <c r="H96" s="21"/>
      <c r="I96" s="21"/>
      <c r="J96" s="21"/>
      <c r="K96" s="21"/>
      <c r="L96" s="21"/>
      <c r="M96" s="21"/>
      <c r="N96" s="21"/>
    </row>
    <row r="97" spans="1:14" ht="38.25" customHeight="1" x14ac:dyDescent="0.25">
      <c r="A97" s="151"/>
      <c r="B97" s="64">
        <v>2160</v>
      </c>
      <c r="C97" s="64" t="s">
        <v>2</v>
      </c>
      <c r="D97" s="64">
        <v>6</v>
      </c>
      <c r="E97" s="64">
        <v>0</v>
      </c>
      <c r="F97" s="71" t="s">
        <v>202</v>
      </c>
      <c r="G97" s="64"/>
      <c r="H97" s="21">
        <f>+H99+H104</f>
        <v>255296</v>
      </c>
      <c r="I97" s="21">
        <f>+I99+I104</f>
        <v>255296</v>
      </c>
      <c r="J97" s="21">
        <f>J99</f>
        <v>0</v>
      </c>
      <c r="K97" s="21">
        <f>K99</f>
        <v>48223.619047619053</v>
      </c>
      <c r="L97" s="21">
        <f>L99</f>
        <v>96950.03174603176</v>
      </c>
      <c r="M97" s="21">
        <f>M99</f>
        <v>203670.41269841272</v>
      </c>
      <c r="N97" s="21">
        <f>N99</f>
        <v>255296</v>
      </c>
    </row>
    <row r="98" spans="1:14" x14ac:dyDescent="0.25">
      <c r="A98" s="151"/>
      <c r="B98" s="64"/>
      <c r="C98" s="64"/>
      <c r="D98" s="64"/>
      <c r="E98" s="64"/>
      <c r="F98" s="71" t="s">
        <v>156</v>
      </c>
      <c r="G98" s="64"/>
      <c r="H98" s="21"/>
      <c r="I98" s="21"/>
      <c r="J98" s="21"/>
      <c r="K98" s="21"/>
      <c r="L98" s="21"/>
      <c r="M98" s="21"/>
      <c r="N98" s="21"/>
    </row>
    <row r="99" spans="1:14" ht="27" x14ac:dyDescent="0.25">
      <c r="A99" s="151"/>
      <c r="B99" s="64">
        <v>2161</v>
      </c>
      <c r="C99" s="64" t="s">
        <v>2</v>
      </c>
      <c r="D99" s="64">
        <v>6</v>
      </c>
      <c r="E99" s="64">
        <v>1</v>
      </c>
      <c r="F99" s="71" t="s">
        <v>203</v>
      </c>
      <c r="G99" s="64"/>
      <c r="H99" s="21">
        <f>+H101+H102+H105+H107+H108</f>
        <v>255296</v>
      </c>
      <c r="I99" s="21">
        <f t="shared" ref="I99:N99" si="19">+I101+I102+I105+I107+I108</f>
        <v>255296</v>
      </c>
      <c r="J99" s="21">
        <f t="shared" si="19"/>
        <v>0</v>
      </c>
      <c r="K99" s="21">
        <f t="shared" si="19"/>
        <v>48223.619047619053</v>
      </c>
      <c r="L99" s="21">
        <f t="shared" si="19"/>
        <v>96950.03174603176</v>
      </c>
      <c r="M99" s="21">
        <f t="shared" si="19"/>
        <v>203670.41269841272</v>
      </c>
      <c r="N99" s="21">
        <f t="shared" si="19"/>
        <v>255296</v>
      </c>
    </row>
    <row r="100" spans="1:14" ht="40.5" x14ac:dyDescent="0.25">
      <c r="A100" s="151"/>
      <c r="B100" s="64"/>
      <c r="C100" s="64"/>
      <c r="D100" s="64"/>
      <c r="E100" s="64"/>
      <c r="F100" s="71" t="s">
        <v>177</v>
      </c>
      <c r="G100" s="64"/>
      <c r="H100" s="21"/>
      <c r="I100" s="21"/>
      <c r="J100" s="21"/>
      <c r="K100" s="21"/>
      <c r="L100" s="21"/>
      <c r="M100" s="21"/>
      <c r="N100" s="21"/>
    </row>
    <row r="101" spans="1:14" x14ac:dyDescent="0.25">
      <c r="A101" s="151"/>
      <c r="B101" s="64"/>
      <c r="C101" s="64"/>
      <c r="D101" s="64"/>
      <c r="E101" s="64"/>
      <c r="F101" s="71" t="s">
        <v>542</v>
      </c>
      <c r="G101" s="64">
        <v>4241</v>
      </c>
      <c r="H101" s="21">
        <f t="shared" ref="H101:H102" si="20">SUM(I101:J101)</f>
        <v>11000</v>
      </c>
      <c r="I101" s="21">
        <v>11000</v>
      </c>
      <c r="J101" s="21"/>
      <c r="K101" s="145">
        <f t="shared" ref="K101:K108" si="21">+H101/252*60</f>
        <v>2619.0476190476193</v>
      </c>
      <c r="L101" s="145">
        <f t="shared" ref="L101:L108" si="22">+H101/252*121</f>
        <v>5281.7460317460318</v>
      </c>
      <c r="M101" s="145">
        <f t="shared" ref="M101:M108" si="23">+H101/252*187</f>
        <v>8162.6984126984125</v>
      </c>
      <c r="N101" s="145">
        <f t="shared" ref="N101:N108" si="24">+H101</f>
        <v>11000</v>
      </c>
    </row>
    <row r="102" spans="1:14" x14ac:dyDescent="0.25">
      <c r="A102" s="151"/>
      <c r="B102" s="64"/>
      <c r="C102" s="64"/>
      <c r="D102" s="64"/>
      <c r="E102" s="64"/>
      <c r="F102" s="71" t="s">
        <v>170</v>
      </c>
      <c r="G102" s="64">
        <v>4823</v>
      </c>
      <c r="H102" s="21">
        <f t="shared" si="20"/>
        <v>84296</v>
      </c>
      <c r="I102" s="21">
        <f>24000+6000+296+54000</f>
        <v>84296</v>
      </c>
      <c r="J102" s="21"/>
      <c r="K102" s="145">
        <v>7509.3333333333339</v>
      </c>
      <c r="L102" s="145">
        <v>14842.888888888891</v>
      </c>
      <c r="M102" s="145">
        <f>22777.5555555556+54000</f>
        <v>76777.555555555591</v>
      </c>
      <c r="N102" s="145">
        <f t="shared" si="24"/>
        <v>84296</v>
      </c>
    </row>
    <row r="103" spans="1:14" x14ac:dyDescent="0.25">
      <c r="A103" s="151"/>
      <c r="B103" s="64"/>
      <c r="C103" s="64"/>
      <c r="D103" s="64"/>
      <c r="E103" s="64"/>
      <c r="F103" s="71"/>
      <c r="G103" s="64"/>
      <c r="H103" s="21"/>
      <c r="I103" s="21"/>
      <c r="J103" s="21"/>
      <c r="K103" s="145"/>
      <c r="L103" s="145"/>
      <c r="M103" s="145"/>
      <c r="N103" s="145"/>
    </row>
    <row r="104" spans="1:14" x14ac:dyDescent="0.25">
      <c r="A104" s="151"/>
      <c r="B104" s="64"/>
      <c r="C104" s="64"/>
      <c r="D104" s="64"/>
      <c r="E104" s="64"/>
      <c r="F104" s="71" t="s">
        <v>638</v>
      </c>
      <c r="G104" s="64"/>
      <c r="H104" s="21"/>
      <c r="I104" s="21"/>
      <c r="J104" s="21"/>
      <c r="K104" s="145"/>
      <c r="L104" s="145"/>
      <c r="M104" s="145"/>
      <c r="N104" s="145"/>
    </row>
    <row r="105" spans="1:14" x14ac:dyDescent="0.25">
      <c r="A105" s="151"/>
      <c r="B105" s="64"/>
      <c r="C105" s="64"/>
      <c r="D105" s="64"/>
      <c r="E105" s="64"/>
      <c r="F105" s="71" t="s">
        <v>639</v>
      </c>
      <c r="G105" s="64" t="s">
        <v>53</v>
      </c>
      <c r="H105" s="21">
        <f t="shared" ref="H105" si="25">SUM(I105:J105)</f>
        <v>160000</v>
      </c>
      <c r="I105" s="21">
        <v>160000</v>
      </c>
      <c r="J105" s="21"/>
      <c r="K105" s="145">
        <f t="shared" si="21"/>
        <v>38095.238095238099</v>
      </c>
      <c r="L105" s="145">
        <f t="shared" si="22"/>
        <v>76825.396825396834</v>
      </c>
      <c r="M105" s="145">
        <f t="shared" si="23"/>
        <v>118730.15873015873</v>
      </c>
      <c r="N105" s="145">
        <f t="shared" si="24"/>
        <v>160000</v>
      </c>
    </row>
    <row r="106" spans="1:14" x14ac:dyDescent="0.25">
      <c r="A106" s="151"/>
      <c r="B106" s="64"/>
      <c r="C106" s="64"/>
      <c r="D106" s="64"/>
      <c r="E106" s="64"/>
      <c r="F106" s="71"/>
      <c r="G106" s="64"/>
      <c r="H106" s="21"/>
      <c r="I106" s="21"/>
      <c r="J106" s="21"/>
      <c r="K106" s="145"/>
      <c r="L106" s="145"/>
      <c r="M106" s="145"/>
      <c r="N106" s="145"/>
    </row>
    <row r="107" spans="1:14" x14ac:dyDescent="0.25">
      <c r="A107" s="151"/>
      <c r="B107" s="64"/>
      <c r="C107" s="64"/>
      <c r="D107" s="64"/>
      <c r="E107" s="64"/>
      <c r="F107" s="71" t="s">
        <v>862</v>
      </c>
      <c r="G107" s="64" t="s">
        <v>72</v>
      </c>
      <c r="H107" s="21"/>
      <c r="I107" s="21"/>
      <c r="J107" s="21"/>
      <c r="K107" s="145"/>
      <c r="L107" s="145"/>
      <c r="M107" s="145"/>
      <c r="N107" s="145"/>
    </row>
    <row r="108" spans="1:14" ht="40.5" x14ac:dyDescent="0.25">
      <c r="A108" s="151"/>
      <c r="B108" s="64"/>
      <c r="C108" s="64"/>
      <c r="D108" s="64"/>
      <c r="E108" s="64"/>
      <c r="F108" s="71" t="s">
        <v>447</v>
      </c>
      <c r="G108" s="54" t="s">
        <v>67</v>
      </c>
      <c r="H108" s="21">
        <f t="shared" ref="H108:H109" si="26">SUM(I108:J108)</f>
        <v>0</v>
      </c>
      <c r="I108" s="21"/>
      <c r="J108" s="21"/>
      <c r="K108" s="145">
        <f t="shared" si="21"/>
        <v>0</v>
      </c>
      <c r="L108" s="145">
        <f t="shared" si="22"/>
        <v>0</v>
      </c>
      <c r="M108" s="145">
        <f t="shared" si="23"/>
        <v>0</v>
      </c>
      <c r="N108" s="145">
        <f t="shared" si="24"/>
        <v>0</v>
      </c>
    </row>
    <row r="109" spans="1:14" x14ac:dyDescent="0.25">
      <c r="A109" s="151"/>
      <c r="B109" s="64"/>
      <c r="C109" s="64"/>
      <c r="D109" s="64"/>
      <c r="E109" s="64"/>
      <c r="F109" s="71" t="s">
        <v>544</v>
      </c>
      <c r="G109" s="64">
        <v>4861</v>
      </c>
      <c r="H109" s="21">
        <f t="shared" si="26"/>
        <v>0</v>
      </c>
      <c r="I109" s="21"/>
      <c r="J109" s="21"/>
      <c r="K109" s="84"/>
      <c r="L109" s="84"/>
      <c r="M109" s="84"/>
      <c r="N109" s="84"/>
    </row>
    <row r="110" spans="1:14" x14ac:dyDescent="0.25">
      <c r="A110" s="151"/>
      <c r="B110" s="64">
        <v>2170</v>
      </c>
      <c r="C110" s="64" t="s">
        <v>2</v>
      </c>
      <c r="D110" s="64">
        <v>7</v>
      </c>
      <c r="E110" s="64">
        <v>0</v>
      </c>
      <c r="F110" s="71" t="s">
        <v>204</v>
      </c>
      <c r="G110" s="64"/>
      <c r="H110" s="21"/>
      <c r="I110" s="21"/>
      <c r="J110" s="21"/>
      <c r="K110" s="21"/>
      <c r="L110" s="21"/>
      <c r="M110" s="21"/>
      <c r="N110" s="21"/>
    </row>
    <row r="111" spans="1:14" ht="49.5" customHeight="1" x14ac:dyDescent="0.25">
      <c r="A111" s="151"/>
      <c r="B111" s="64"/>
      <c r="C111" s="64"/>
      <c r="D111" s="64"/>
      <c r="E111" s="64"/>
      <c r="F111" s="71" t="s">
        <v>156</v>
      </c>
      <c r="G111" s="64"/>
      <c r="H111" s="21"/>
      <c r="I111" s="21"/>
      <c r="J111" s="21"/>
      <c r="K111" s="21"/>
      <c r="L111" s="21"/>
      <c r="M111" s="21"/>
      <c r="N111" s="21"/>
    </row>
    <row r="112" spans="1:14" x14ac:dyDescent="0.25">
      <c r="A112" s="151"/>
      <c r="B112" s="64">
        <v>2171</v>
      </c>
      <c r="C112" s="64" t="s">
        <v>2</v>
      </c>
      <c r="D112" s="64">
        <v>7</v>
      </c>
      <c r="E112" s="64">
        <v>1</v>
      </c>
      <c r="F112" s="71" t="s">
        <v>594</v>
      </c>
      <c r="G112" s="64"/>
      <c r="H112" s="21"/>
      <c r="I112" s="21"/>
      <c r="J112" s="21"/>
      <c r="K112" s="21"/>
      <c r="L112" s="21"/>
      <c r="M112" s="21"/>
      <c r="N112" s="21"/>
    </row>
    <row r="113" spans="1:14" ht="40.5" x14ac:dyDescent="0.25">
      <c r="A113" s="151"/>
      <c r="B113" s="64"/>
      <c r="C113" s="64"/>
      <c r="D113" s="64"/>
      <c r="E113" s="64"/>
      <c r="F113" s="71" t="s">
        <v>177</v>
      </c>
      <c r="G113" s="64"/>
      <c r="H113" s="21"/>
      <c r="I113" s="21"/>
      <c r="J113" s="21"/>
      <c r="K113" s="21"/>
      <c r="L113" s="21"/>
      <c r="M113" s="21"/>
      <c r="N113" s="21"/>
    </row>
    <row r="114" spans="1:14" x14ac:dyDescent="0.25">
      <c r="A114" s="151"/>
      <c r="B114" s="64"/>
      <c r="C114" s="64"/>
      <c r="D114" s="64"/>
      <c r="E114" s="64"/>
      <c r="F114" s="71" t="s">
        <v>178</v>
      </c>
      <c r="G114" s="64"/>
      <c r="H114" s="21"/>
      <c r="I114" s="21"/>
      <c r="J114" s="21"/>
      <c r="K114" s="21"/>
      <c r="L114" s="21"/>
      <c r="M114" s="21"/>
      <c r="N114" s="21"/>
    </row>
    <row r="115" spans="1:14" x14ac:dyDescent="0.25">
      <c r="A115" s="151"/>
      <c r="B115" s="64"/>
      <c r="C115" s="64"/>
      <c r="D115" s="64"/>
      <c r="E115" s="64"/>
      <c r="F115" s="71" t="s">
        <v>178</v>
      </c>
      <c r="G115" s="64"/>
      <c r="H115" s="21"/>
      <c r="I115" s="21"/>
      <c r="J115" s="21"/>
      <c r="K115" s="21"/>
      <c r="L115" s="21"/>
      <c r="M115" s="21"/>
      <c r="N115" s="21"/>
    </row>
    <row r="116" spans="1:14" ht="52.5" customHeight="1" x14ac:dyDescent="0.25">
      <c r="A116" s="151"/>
      <c r="B116" s="64">
        <v>2180</v>
      </c>
      <c r="C116" s="64" t="s">
        <v>2</v>
      </c>
      <c r="D116" s="64">
        <v>8</v>
      </c>
      <c r="E116" s="64">
        <v>0</v>
      </c>
      <c r="F116" s="71" t="s">
        <v>205</v>
      </c>
      <c r="G116" s="64"/>
      <c r="H116" s="21"/>
      <c r="I116" s="21"/>
      <c r="J116" s="21"/>
      <c r="K116" s="21"/>
      <c r="L116" s="21"/>
      <c r="M116" s="21"/>
      <c r="N116" s="21"/>
    </row>
    <row r="117" spans="1:14" x14ac:dyDescent="0.25">
      <c r="A117" s="151"/>
      <c r="B117" s="64"/>
      <c r="C117" s="64"/>
      <c r="D117" s="64"/>
      <c r="E117" s="64"/>
      <c r="F117" s="71" t="s">
        <v>156</v>
      </c>
      <c r="G117" s="64"/>
      <c r="H117" s="21"/>
      <c r="I117" s="21"/>
      <c r="J117" s="21"/>
      <c r="K117" s="21"/>
      <c r="L117" s="21"/>
      <c r="M117" s="21"/>
      <c r="N117" s="21"/>
    </row>
    <row r="118" spans="1:14" ht="40.5" x14ac:dyDescent="0.25">
      <c r="A118" s="151"/>
      <c r="B118" s="64">
        <v>2181</v>
      </c>
      <c r="C118" s="64" t="s">
        <v>2</v>
      </c>
      <c r="D118" s="64">
        <v>8</v>
      </c>
      <c r="E118" s="64">
        <v>1</v>
      </c>
      <c r="F118" s="71" t="s">
        <v>205</v>
      </c>
      <c r="G118" s="64"/>
      <c r="H118" s="21"/>
      <c r="I118" s="21"/>
      <c r="J118" s="21"/>
      <c r="K118" s="21"/>
      <c r="L118" s="21"/>
      <c r="M118" s="21"/>
      <c r="N118" s="21"/>
    </row>
    <row r="119" spans="1:14" ht="35.25" customHeight="1" x14ac:dyDescent="0.25">
      <c r="A119" s="151"/>
      <c r="B119" s="64"/>
      <c r="C119" s="64"/>
      <c r="D119" s="64"/>
      <c r="E119" s="64"/>
      <c r="F119" s="71" t="s">
        <v>156</v>
      </c>
      <c r="G119" s="64"/>
      <c r="H119" s="21"/>
      <c r="I119" s="21"/>
      <c r="J119" s="21"/>
      <c r="K119" s="21"/>
      <c r="L119" s="21"/>
      <c r="M119" s="21"/>
      <c r="N119" s="21"/>
    </row>
    <row r="120" spans="1:14" ht="40.5" customHeight="1" x14ac:dyDescent="0.25">
      <c r="A120" s="151"/>
      <c r="B120" s="64">
        <v>2182</v>
      </c>
      <c r="C120" s="64" t="s">
        <v>2</v>
      </c>
      <c r="D120" s="64">
        <v>8</v>
      </c>
      <c r="E120" s="64">
        <v>1</v>
      </c>
      <c r="F120" s="71" t="s">
        <v>206</v>
      </c>
      <c r="G120" s="64"/>
      <c r="H120" s="21"/>
      <c r="I120" s="21"/>
      <c r="J120" s="21"/>
      <c r="K120" s="21"/>
      <c r="L120" s="21"/>
      <c r="M120" s="21"/>
      <c r="N120" s="21"/>
    </row>
    <row r="121" spans="1:14" ht="47.25" customHeight="1" x14ac:dyDescent="0.25">
      <c r="A121" s="151"/>
      <c r="B121" s="64">
        <v>2183</v>
      </c>
      <c r="C121" s="64" t="s">
        <v>2</v>
      </c>
      <c r="D121" s="64">
        <v>8</v>
      </c>
      <c r="E121" s="64">
        <v>1</v>
      </c>
      <c r="F121" s="71" t="s">
        <v>207</v>
      </c>
      <c r="G121" s="64"/>
      <c r="H121" s="21"/>
      <c r="I121" s="21"/>
      <c r="J121" s="21"/>
      <c r="K121" s="21"/>
      <c r="L121" s="21"/>
      <c r="M121" s="21"/>
      <c r="N121" s="21"/>
    </row>
    <row r="122" spans="1:14" ht="27" x14ac:dyDescent="0.25">
      <c r="A122" s="151"/>
      <c r="B122" s="64">
        <v>2184</v>
      </c>
      <c r="C122" s="64" t="s">
        <v>2</v>
      </c>
      <c r="D122" s="64">
        <v>8</v>
      </c>
      <c r="E122" s="64">
        <v>1</v>
      </c>
      <c r="F122" s="71" t="s">
        <v>545</v>
      </c>
      <c r="G122" s="64"/>
      <c r="H122" s="21"/>
      <c r="I122" s="21"/>
      <c r="J122" s="21"/>
      <c r="K122" s="21"/>
      <c r="L122" s="21"/>
      <c r="M122" s="21"/>
      <c r="N122" s="21"/>
    </row>
    <row r="123" spans="1:14" ht="40.5" x14ac:dyDescent="0.25">
      <c r="A123" s="151"/>
      <c r="B123" s="64"/>
      <c r="C123" s="64"/>
      <c r="D123" s="64"/>
      <c r="E123" s="64"/>
      <c r="F123" s="71" t="s">
        <v>177</v>
      </c>
      <c r="G123" s="64"/>
      <c r="H123" s="21"/>
      <c r="I123" s="21"/>
      <c r="J123" s="21"/>
      <c r="K123" s="21"/>
      <c r="L123" s="21"/>
      <c r="M123" s="21"/>
      <c r="N123" s="21"/>
    </row>
    <row r="124" spans="1:14" x14ac:dyDescent="0.25">
      <c r="A124" s="151"/>
      <c r="B124" s="64"/>
      <c r="C124" s="64"/>
      <c r="D124" s="64"/>
      <c r="E124" s="64"/>
      <c r="F124" s="71" t="s">
        <v>178</v>
      </c>
      <c r="G124" s="64"/>
      <c r="H124" s="21"/>
      <c r="I124" s="21"/>
      <c r="J124" s="21"/>
      <c r="K124" s="21"/>
      <c r="L124" s="21"/>
      <c r="M124" s="21"/>
      <c r="N124" s="21"/>
    </row>
    <row r="125" spans="1:14" x14ac:dyDescent="0.25">
      <c r="A125" s="151"/>
      <c r="B125" s="64"/>
      <c r="C125" s="64"/>
      <c r="D125" s="64"/>
      <c r="E125" s="64"/>
      <c r="F125" s="71" t="s">
        <v>178</v>
      </c>
      <c r="G125" s="64"/>
      <c r="H125" s="21"/>
      <c r="I125" s="21"/>
      <c r="J125" s="21"/>
      <c r="K125" s="21"/>
      <c r="L125" s="21"/>
      <c r="M125" s="21"/>
      <c r="N125" s="21"/>
    </row>
    <row r="126" spans="1:14" ht="27" x14ac:dyDescent="0.25">
      <c r="A126" s="151"/>
      <c r="B126" s="64">
        <v>2200</v>
      </c>
      <c r="C126" s="64" t="s">
        <v>7</v>
      </c>
      <c r="D126" s="64">
        <v>0</v>
      </c>
      <c r="E126" s="64">
        <v>0</v>
      </c>
      <c r="F126" s="71" t="s">
        <v>208</v>
      </c>
      <c r="G126" s="64"/>
      <c r="H126" s="21">
        <f t="shared" ref="H126:N126" si="27">H127+H134+H140+H146+H150</f>
        <v>2400</v>
      </c>
      <c r="I126" s="21">
        <f t="shared" si="27"/>
        <v>2400</v>
      </c>
      <c r="J126" s="21">
        <f t="shared" si="27"/>
        <v>0</v>
      </c>
      <c r="K126" s="21">
        <f t="shared" si="27"/>
        <v>571.42857142857144</v>
      </c>
      <c r="L126" s="21">
        <f t="shared" si="27"/>
        <v>1152.3809523809523</v>
      </c>
      <c r="M126" s="21">
        <f t="shared" si="27"/>
        <v>1780.952380952381</v>
      </c>
      <c r="N126" s="21">
        <f t="shared" si="27"/>
        <v>2400</v>
      </c>
    </row>
    <row r="127" spans="1:14" x14ac:dyDescent="0.25">
      <c r="A127" s="151"/>
      <c r="B127" s="64"/>
      <c r="C127" s="64"/>
      <c r="D127" s="64"/>
      <c r="E127" s="64"/>
      <c r="F127" s="71" t="s">
        <v>154</v>
      </c>
      <c r="G127" s="64"/>
      <c r="H127" s="21"/>
      <c r="I127" s="21"/>
      <c r="J127" s="21"/>
      <c r="K127" s="21"/>
      <c r="L127" s="21"/>
      <c r="M127" s="21"/>
      <c r="N127" s="21"/>
    </row>
    <row r="128" spans="1:14" x14ac:dyDescent="0.25">
      <c r="A128" s="151"/>
      <c r="B128" s="64">
        <v>2210</v>
      </c>
      <c r="C128" s="64" t="s">
        <v>7</v>
      </c>
      <c r="D128" s="64">
        <v>1</v>
      </c>
      <c r="E128" s="64">
        <v>0</v>
      </c>
      <c r="F128" s="71" t="s">
        <v>209</v>
      </c>
      <c r="G128" s="64"/>
      <c r="H128" s="21"/>
      <c r="I128" s="21"/>
      <c r="J128" s="21"/>
      <c r="K128" s="21"/>
      <c r="L128" s="21"/>
      <c r="M128" s="21"/>
      <c r="N128" s="21"/>
    </row>
    <row r="129" spans="1:14" ht="48.75" customHeight="1" x14ac:dyDescent="0.25">
      <c r="A129" s="151"/>
      <c r="B129" s="64"/>
      <c r="C129" s="64"/>
      <c r="D129" s="64"/>
      <c r="E129" s="64"/>
      <c r="F129" s="71" t="s">
        <v>156</v>
      </c>
      <c r="G129" s="64"/>
      <c r="H129" s="21"/>
      <c r="I129" s="21"/>
      <c r="J129" s="21"/>
      <c r="K129" s="21"/>
      <c r="L129" s="21"/>
      <c r="M129" s="21"/>
      <c r="N129" s="21"/>
    </row>
    <row r="130" spans="1:14" x14ac:dyDescent="0.25">
      <c r="A130" s="151"/>
      <c r="B130" s="64">
        <v>2211</v>
      </c>
      <c r="C130" s="64" t="s">
        <v>7</v>
      </c>
      <c r="D130" s="64">
        <v>1</v>
      </c>
      <c r="E130" s="64">
        <v>1</v>
      </c>
      <c r="F130" s="71" t="s">
        <v>210</v>
      </c>
      <c r="G130" s="64"/>
      <c r="H130" s="21"/>
      <c r="I130" s="21"/>
      <c r="J130" s="21"/>
      <c r="K130" s="21"/>
      <c r="L130" s="21"/>
      <c r="M130" s="21"/>
      <c r="N130" s="21"/>
    </row>
    <row r="131" spans="1:14" ht="40.5" x14ac:dyDescent="0.25">
      <c r="A131" s="151"/>
      <c r="B131" s="64"/>
      <c r="C131" s="64"/>
      <c r="D131" s="64"/>
      <c r="E131" s="64"/>
      <c r="F131" s="71" t="s">
        <v>177</v>
      </c>
      <c r="G131" s="64"/>
      <c r="H131" s="21"/>
      <c r="I131" s="21"/>
      <c r="J131" s="21"/>
      <c r="K131" s="21"/>
      <c r="L131" s="21"/>
      <c r="M131" s="21"/>
      <c r="N131" s="21"/>
    </row>
    <row r="132" spans="1:14" x14ac:dyDescent="0.25">
      <c r="A132" s="151"/>
      <c r="B132" s="64"/>
      <c r="C132" s="64"/>
      <c r="D132" s="64"/>
      <c r="E132" s="64"/>
      <c r="F132" s="71" t="s">
        <v>178</v>
      </c>
      <c r="G132" s="64"/>
      <c r="H132" s="21"/>
      <c r="I132" s="21"/>
      <c r="J132" s="21"/>
      <c r="K132" s="21"/>
      <c r="L132" s="21"/>
      <c r="M132" s="21"/>
      <c r="N132" s="21"/>
    </row>
    <row r="133" spans="1:14" x14ac:dyDescent="0.25">
      <c r="A133" s="151"/>
      <c r="B133" s="64"/>
      <c r="C133" s="64"/>
      <c r="D133" s="64"/>
      <c r="E133" s="64"/>
      <c r="F133" s="71" t="s">
        <v>178</v>
      </c>
      <c r="G133" s="64"/>
      <c r="H133" s="21"/>
      <c r="I133" s="21"/>
      <c r="J133" s="21"/>
      <c r="K133" s="21"/>
      <c r="L133" s="21"/>
      <c r="M133" s="21"/>
      <c r="N133" s="21"/>
    </row>
    <row r="134" spans="1:14" x14ac:dyDescent="0.25">
      <c r="A134" s="151"/>
      <c r="B134" s="64">
        <v>2220</v>
      </c>
      <c r="C134" s="64" t="s">
        <v>7</v>
      </c>
      <c r="D134" s="64">
        <v>2</v>
      </c>
      <c r="E134" s="64">
        <v>0</v>
      </c>
      <c r="F134" s="71" t="s">
        <v>211</v>
      </c>
      <c r="G134" s="64"/>
      <c r="H134" s="21"/>
      <c r="I134" s="21"/>
      <c r="J134" s="21"/>
      <c r="K134" s="21"/>
      <c r="L134" s="21"/>
      <c r="M134" s="21"/>
      <c r="N134" s="21"/>
    </row>
    <row r="135" spans="1:14" ht="51" customHeight="1" x14ac:dyDescent="0.25">
      <c r="A135" s="151"/>
      <c r="B135" s="64"/>
      <c r="C135" s="64"/>
      <c r="D135" s="64"/>
      <c r="E135" s="64"/>
      <c r="F135" s="71" t="s">
        <v>156</v>
      </c>
      <c r="G135" s="64"/>
      <c r="H135" s="21"/>
      <c r="I135" s="21"/>
      <c r="J135" s="21"/>
      <c r="K135" s="21"/>
      <c r="L135" s="21"/>
      <c r="M135" s="21"/>
      <c r="N135" s="21"/>
    </row>
    <row r="136" spans="1:14" x14ac:dyDescent="0.25">
      <c r="A136" s="151"/>
      <c r="B136" s="64">
        <v>2221</v>
      </c>
      <c r="C136" s="64" t="s">
        <v>7</v>
      </c>
      <c r="D136" s="64">
        <v>2</v>
      </c>
      <c r="E136" s="64">
        <v>1</v>
      </c>
      <c r="F136" s="71" t="s">
        <v>211</v>
      </c>
      <c r="G136" s="64"/>
      <c r="H136" s="21"/>
      <c r="I136" s="21"/>
      <c r="J136" s="21"/>
      <c r="K136" s="21"/>
      <c r="L136" s="21"/>
      <c r="M136" s="21"/>
      <c r="N136" s="21"/>
    </row>
    <row r="137" spans="1:14" ht="40.5" x14ac:dyDescent="0.25">
      <c r="A137" s="151"/>
      <c r="B137" s="64"/>
      <c r="C137" s="64"/>
      <c r="D137" s="64"/>
      <c r="E137" s="64"/>
      <c r="F137" s="71" t="s">
        <v>177</v>
      </c>
      <c r="G137" s="64"/>
      <c r="H137" s="21"/>
      <c r="I137" s="21"/>
      <c r="J137" s="21"/>
      <c r="K137" s="21"/>
      <c r="L137" s="21"/>
      <c r="M137" s="21"/>
      <c r="N137" s="21"/>
    </row>
    <row r="138" spans="1:14" x14ac:dyDescent="0.25">
      <c r="A138" s="151"/>
      <c r="B138" s="64"/>
      <c r="C138" s="64"/>
      <c r="D138" s="64"/>
      <c r="E138" s="64"/>
      <c r="F138" s="71" t="s">
        <v>178</v>
      </c>
      <c r="G138" s="64"/>
      <c r="H138" s="21"/>
      <c r="I138" s="21"/>
      <c r="J138" s="21"/>
      <c r="K138" s="21"/>
      <c r="L138" s="21"/>
      <c r="M138" s="21"/>
      <c r="N138" s="21"/>
    </row>
    <row r="139" spans="1:14" x14ac:dyDescent="0.25">
      <c r="A139" s="151"/>
      <c r="B139" s="64"/>
      <c r="C139" s="64"/>
      <c r="D139" s="64"/>
      <c r="E139" s="64"/>
      <c r="F139" s="71" t="s">
        <v>178</v>
      </c>
      <c r="G139" s="64"/>
      <c r="H139" s="21"/>
      <c r="I139" s="21"/>
      <c r="J139" s="21"/>
      <c r="K139" s="21"/>
      <c r="L139" s="21"/>
      <c r="M139" s="21"/>
      <c r="N139" s="21"/>
    </row>
    <row r="140" spans="1:14" x14ac:dyDescent="0.25">
      <c r="A140" s="151"/>
      <c r="B140" s="64">
        <v>2230</v>
      </c>
      <c r="C140" s="64" t="s">
        <v>7</v>
      </c>
      <c r="D140" s="64">
        <v>3</v>
      </c>
      <c r="E140" s="64">
        <v>0</v>
      </c>
      <c r="F140" s="71" t="s">
        <v>213</v>
      </c>
      <c r="G140" s="64"/>
      <c r="H140" s="21"/>
      <c r="I140" s="21"/>
      <c r="J140" s="21"/>
      <c r="K140" s="21"/>
      <c r="L140" s="21"/>
      <c r="M140" s="21"/>
      <c r="N140" s="21"/>
    </row>
    <row r="141" spans="1:14" ht="52.5" customHeight="1" x14ac:dyDescent="0.25">
      <c r="A141" s="151"/>
      <c r="B141" s="64"/>
      <c r="C141" s="64"/>
      <c r="D141" s="64"/>
      <c r="E141" s="64"/>
      <c r="F141" s="71" t="s">
        <v>156</v>
      </c>
      <c r="G141" s="64"/>
      <c r="H141" s="21"/>
      <c r="I141" s="21"/>
      <c r="J141" s="21"/>
      <c r="K141" s="21"/>
      <c r="L141" s="21"/>
      <c r="M141" s="21"/>
      <c r="N141" s="21"/>
    </row>
    <row r="142" spans="1:14" x14ac:dyDescent="0.25">
      <c r="A142" s="151"/>
      <c r="B142" s="64">
        <v>2231</v>
      </c>
      <c r="C142" s="64" t="s">
        <v>7</v>
      </c>
      <c r="D142" s="64">
        <v>3</v>
      </c>
      <c r="E142" s="64">
        <v>1</v>
      </c>
      <c r="F142" s="71" t="s">
        <v>214</v>
      </c>
      <c r="G142" s="64"/>
      <c r="H142" s="21"/>
      <c r="I142" s="21"/>
      <c r="J142" s="21"/>
      <c r="K142" s="21"/>
      <c r="L142" s="21"/>
      <c r="M142" s="21"/>
      <c r="N142" s="21"/>
    </row>
    <row r="143" spans="1:14" ht="40.5" x14ac:dyDescent="0.25">
      <c r="A143" s="151"/>
      <c r="B143" s="64"/>
      <c r="C143" s="64"/>
      <c r="D143" s="64"/>
      <c r="E143" s="64"/>
      <c r="F143" s="71" t="s">
        <v>177</v>
      </c>
      <c r="G143" s="64"/>
      <c r="H143" s="21"/>
      <c r="I143" s="21"/>
      <c r="J143" s="21"/>
      <c r="K143" s="21"/>
      <c r="L143" s="21"/>
      <c r="M143" s="21"/>
      <c r="N143" s="21"/>
    </row>
    <row r="144" spans="1:14" ht="35.25" customHeight="1" x14ac:dyDescent="0.25">
      <c r="A144" s="151"/>
      <c r="B144" s="64"/>
      <c r="C144" s="64"/>
      <c r="D144" s="64"/>
      <c r="E144" s="64"/>
      <c r="F144" s="71" t="s">
        <v>178</v>
      </c>
      <c r="G144" s="64"/>
      <c r="H144" s="21"/>
      <c r="I144" s="21"/>
      <c r="J144" s="21"/>
      <c r="K144" s="21"/>
      <c r="L144" s="21"/>
      <c r="M144" s="21"/>
      <c r="N144" s="21"/>
    </row>
    <row r="145" spans="1:14" x14ac:dyDescent="0.25">
      <c r="A145" s="151"/>
      <c r="B145" s="64"/>
      <c r="C145" s="64"/>
      <c r="D145" s="64"/>
      <c r="E145" s="64"/>
      <c r="F145" s="71" t="s">
        <v>178</v>
      </c>
      <c r="G145" s="64"/>
      <c r="H145" s="21"/>
      <c r="I145" s="21"/>
      <c r="J145" s="21"/>
      <c r="K145" s="21"/>
      <c r="L145" s="21"/>
      <c r="M145" s="21"/>
      <c r="N145" s="21"/>
    </row>
    <row r="146" spans="1:14" ht="35.25" customHeight="1" x14ac:dyDescent="0.25">
      <c r="A146" s="151"/>
      <c r="B146" s="64">
        <v>2240</v>
      </c>
      <c r="C146" s="64" t="s">
        <v>7</v>
      </c>
      <c r="D146" s="64">
        <v>4</v>
      </c>
      <c r="E146" s="64">
        <v>0</v>
      </c>
      <c r="F146" s="71" t="s">
        <v>215</v>
      </c>
      <c r="G146" s="64"/>
      <c r="H146" s="21"/>
      <c r="I146" s="21"/>
      <c r="J146" s="21"/>
      <c r="K146" s="21"/>
      <c r="L146" s="21"/>
      <c r="M146" s="21"/>
      <c r="N146" s="21"/>
    </row>
    <row r="147" spans="1:14" x14ac:dyDescent="0.25">
      <c r="A147" s="151"/>
      <c r="B147" s="64"/>
      <c r="C147" s="64"/>
      <c r="D147" s="64"/>
      <c r="E147" s="64"/>
      <c r="F147" s="71" t="s">
        <v>156</v>
      </c>
      <c r="G147" s="64"/>
      <c r="H147" s="21"/>
      <c r="I147" s="21"/>
      <c r="J147" s="21"/>
      <c r="K147" s="21"/>
      <c r="L147" s="21"/>
      <c r="M147" s="21"/>
      <c r="N147" s="21"/>
    </row>
    <row r="148" spans="1:14" ht="27" x14ac:dyDescent="0.25">
      <c r="A148" s="151"/>
      <c r="B148" s="64">
        <v>2241</v>
      </c>
      <c r="C148" s="64" t="s">
        <v>7</v>
      </c>
      <c r="D148" s="64">
        <v>4</v>
      </c>
      <c r="E148" s="64">
        <v>1</v>
      </c>
      <c r="F148" s="71" t="s">
        <v>215</v>
      </c>
      <c r="G148" s="64"/>
      <c r="H148" s="21"/>
      <c r="I148" s="21"/>
      <c r="J148" s="21"/>
      <c r="K148" s="21"/>
      <c r="L148" s="21"/>
      <c r="M148" s="21"/>
      <c r="N148" s="21"/>
    </row>
    <row r="149" spans="1:14" x14ac:dyDescent="0.25">
      <c r="A149" s="151"/>
      <c r="B149" s="64"/>
      <c r="C149" s="64"/>
      <c r="D149" s="64"/>
      <c r="E149" s="64"/>
      <c r="F149" s="71" t="s">
        <v>156</v>
      </c>
      <c r="G149" s="64"/>
      <c r="H149" s="21"/>
      <c r="I149" s="21"/>
      <c r="J149" s="21"/>
      <c r="K149" s="21"/>
      <c r="L149" s="21"/>
      <c r="M149" s="21"/>
      <c r="N149" s="21"/>
    </row>
    <row r="150" spans="1:14" x14ac:dyDescent="0.25">
      <c r="A150" s="151"/>
      <c r="B150" s="64">
        <v>2250</v>
      </c>
      <c r="C150" s="64" t="s">
        <v>7</v>
      </c>
      <c r="D150" s="64">
        <v>5</v>
      </c>
      <c r="E150" s="64">
        <v>0</v>
      </c>
      <c r="F150" s="71" t="s">
        <v>216</v>
      </c>
      <c r="G150" s="64"/>
      <c r="H150" s="21">
        <f t="shared" ref="H150:N150" si="28">H152</f>
        <v>2400</v>
      </c>
      <c r="I150" s="21">
        <f t="shared" si="28"/>
        <v>2400</v>
      </c>
      <c r="J150" s="21">
        <f t="shared" si="28"/>
        <v>0</v>
      </c>
      <c r="K150" s="21">
        <f t="shared" si="28"/>
        <v>571.42857142857144</v>
      </c>
      <c r="L150" s="21">
        <f t="shared" si="28"/>
        <v>1152.3809523809523</v>
      </c>
      <c r="M150" s="21">
        <f t="shared" si="28"/>
        <v>1780.952380952381</v>
      </c>
      <c r="N150" s="21">
        <f t="shared" si="28"/>
        <v>2400</v>
      </c>
    </row>
    <row r="151" spans="1:14" ht="50.25" customHeight="1" x14ac:dyDescent="0.25">
      <c r="A151" s="151"/>
      <c r="B151" s="64"/>
      <c r="C151" s="64"/>
      <c r="D151" s="64"/>
      <c r="E151" s="64"/>
      <c r="F151" s="71" t="s">
        <v>156</v>
      </c>
      <c r="G151" s="64"/>
      <c r="H151" s="21"/>
      <c r="I151" s="21"/>
      <c r="J151" s="21"/>
      <c r="K151" s="21"/>
      <c r="L151" s="21"/>
      <c r="M151" s="21"/>
      <c r="N151" s="21"/>
    </row>
    <row r="152" spans="1:14" x14ac:dyDescent="0.25">
      <c r="A152" s="151"/>
      <c r="B152" s="64">
        <v>2251</v>
      </c>
      <c r="C152" s="64" t="s">
        <v>7</v>
      </c>
      <c r="D152" s="64">
        <v>5</v>
      </c>
      <c r="E152" s="64">
        <v>1</v>
      </c>
      <c r="F152" s="71" t="s">
        <v>216</v>
      </c>
      <c r="G152" s="64"/>
      <c r="H152" s="21">
        <f>+H154+H155+H156+H157+H158</f>
        <v>2400</v>
      </c>
      <c r="I152" s="21">
        <f t="shared" ref="I152:N152" si="29">+I154+I155+I156+I157+I158</f>
        <v>2400</v>
      </c>
      <c r="J152" s="21">
        <f t="shared" si="29"/>
        <v>0</v>
      </c>
      <c r="K152" s="21">
        <f t="shared" si="29"/>
        <v>571.42857142857144</v>
      </c>
      <c r="L152" s="21">
        <f t="shared" si="29"/>
        <v>1152.3809523809523</v>
      </c>
      <c r="M152" s="21">
        <f t="shared" si="29"/>
        <v>1780.952380952381</v>
      </c>
      <c r="N152" s="21">
        <f t="shared" si="29"/>
        <v>2400</v>
      </c>
    </row>
    <row r="153" spans="1:14" ht="40.5" x14ac:dyDescent="0.25">
      <c r="A153" s="151"/>
      <c r="B153" s="64"/>
      <c r="C153" s="64"/>
      <c r="D153" s="64"/>
      <c r="E153" s="64"/>
      <c r="F153" s="71" t="s">
        <v>177</v>
      </c>
      <c r="G153" s="12"/>
      <c r="H153" s="12"/>
      <c r="I153" s="12"/>
      <c r="J153" s="21"/>
      <c r="K153" s="21"/>
      <c r="L153" s="21"/>
      <c r="M153" s="21"/>
      <c r="N153" s="21"/>
    </row>
    <row r="154" spans="1:14" x14ac:dyDescent="0.25">
      <c r="A154" s="151"/>
      <c r="B154" s="64"/>
      <c r="C154" s="64"/>
      <c r="D154" s="64"/>
      <c r="E154" s="64"/>
      <c r="F154" s="212" t="s">
        <v>413</v>
      </c>
      <c r="G154" s="64">
        <v>4261</v>
      </c>
      <c r="H154" s="21">
        <f>+I154+J154</f>
        <v>600</v>
      </c>
      <c r="I154" s="21">
        <v>600</v>
      </c>
      <c r="J154" s="21"/>
      <c r="K154" s="145">
        <f t="shared" ref="K154:K155" si="30">+H154/252*60</f>
        <v>142.85714285714286</v>
      </c>
      <c r="L154" s="145">
        <f t="shared" ref="L154:L155" si="31">+H154/252*121</f>
        <v>288.09523809523807</v>
      </c>
      <c r="M154" s="145">
        <f t="shared" ref="M154:M155" si="32">+H154/252*187</f>
        <v>445.23809523809524</v>
      </c>
      <c r="N154" s="145">
        <f t="shared" ref="N154:N155" si="33">+H154</f>
        <v>600</v>
      </c>
    </row>
    <row r="155" spans="1:14" ht="32.25" customHeight="1" x14ac:dyDescent="0.25">
      <c r="A155" s="151"/>
      <c r="B155" s="64"/>
      <c r="C155" s="64"/>
      <c r="D155" s="64"/>
      <c r="E155" s="64"/>
      <c r="F155" s="225" t="s">
        <v>546</v>
      </c>
      <c r="G155" s="64">
        <v>4264</v>
      </c>
      <c r="H155" s="21">
        <f>+I155+J155</f>
        <v>800</v>
      </c>
      <c r="I155" s="21">
        <v>800</v>
      </c>
      <c r="J155" s="21"/>
      <c r="K155" s="145">
        <f t="shared" si="30"/>
        <v>190.47619047619045</v>
      </c>
      <c r="L155" s="145">
        <f t="shared" si="31"/>
        <v>384.1269841269841</v>
      </c>
      <c r="M155" s="145">
        <f t="shared" si="32"/>
        <v>593.65079365079362</v>
      </c>
      <c r="N155" s="145">
        <f t="shared" si="33"/>
        <v>800</v>
      </c>
    </row>
    <row r="156" spans="1:14" x14ac:dyDescent="0.25">
      <c r="A156" s="151"/>
      <c r="B156" s="64"/>
      <c r="C156" s="64"/>
      <c r="D156" s="64"/>
      <c r="E156" s="64"/>
      <c r="F156" s="71" t="s">
        <v>749</v>
      </c>
      <c r="G156" s="64" t="s">
        <v>50</v>
      </c>
      <c r="H156" s="21">
        <f>+I156+J156</f>
        <v>0</v>
      </c>
      <c r="I156" s="21"/>
      <c r="J156" s="21"/>
      <c r="K156" s="84"/>
      <c r="L156" s="84"/>
      <c r="M156" s="84"/>
      <c r="N156" s="84"/>
    </row>
    <row r="157" spans="1:14" ht="27" x14ac:dyDescent="0.25">
      <c r="A157" s="151"/>
      <c r="B157" s="64"/>
      <c r="C157" s="64"/>
      <c r="D157" s="64"/>
      <c r="E157" s="64"/>
      <c r="F157" s="71" t="s">
        <v>555</v>
      </c>
      <c r="G157" s="64" t="s">
        <v>61</v>
      </c>
      <c r="H157" s="21"/>
      <c r="I157" s="21"/>
      <c r="J157" s="21"/>
      <c r="K157" s="84"/>
      <c r="L157" s="84"/>
      <c r="M157" s="84"/>
      <c r="N157" s="84"/>
    </row>
    <row r="158" spans="1:14" x14ac:dyDescent="0.25">
      <c r="A158" s="151"/>
      <c r="B158" s="64"/>
      <c r="C158" s="64"/>
      <c r="D158" s="64"/>
      <c r="E158" s="64"/>
      <c r="F158" s="71" t="s">
        <v>166</v>
      </c>
      <c r="G158" s="64" t="s">
        <v>40</v>
      </c>
      <c r="H158" s="21">
        <f>+I158+J158</f>
        <v>1000</v>
      </c>
      <c r="I158" s="21">
        <v>1000</v>
      </c>
      <c r="J158" s="21"/>
      <c r="K158" s="145">
        <f t="shared" ref="K158" si="34">+H158/252*60</f>
        <v>238.0952380952381</v>
      </c>
      <c r="L158" s="145">
        <f t="shared" ref="L158" si="35">+H158/252*121</f>
        <v>480.15873015873018</v>
      </c>
      <c r="M158" s="145">
        <f t="shared" ref="M158" si="36">+H158/252*187</f>
        <v>742.06349206349205</v>
      </c>
      <c r="N158" s="145">
        <f t="shared" ref="N158" si="37">+H158</f>
        <v>1000</v>
      </c>
    </row>
    <row r="159" spans="1:14" ht="21.75" customHeight="1" x14ac:dyDescent="0.25">
      <c r="A159" s="151"/>
      <c r="B159" s="64">
        <v>2300</v>
      </c>
      <c r="C159" s="64" t="s">
        <v>8</v>
      </c>
      <c r="D159" s="64">
        <v>0</v>
      </c>
      <c r="E159" s="64">
        <v>0</v>
      </c>
      <c r="F159" s="71" t="s">
        <v>217</v>
      </c>
      <c r="G159" s="64"/>
      <c r="H159" s="21"/>
      <c r="I159" s="21"/>
      <c r="J159" s="21"/>
      <c r="K159" s="21"/>
      <c r="L159" s="21"/>
      <c r="M159" s="21"/>
      <c r="N159" s="21"/>
    </row>
    <row r="160" spans="1:14" x14ac:dyDescent="0.25">
      <c r="A160" s="151"/>
      <c r="B160" s="64"/>
      <c r="C160" s="64"/>
      <c r="D160" s="64"/>
      <c r="E160" s="64"/>
      <c r="F160" s="71" t="s">
        <v>154</v>
      </c>
      <c r="G160" s="64"/>
      <c r="H160" s="21"/>
      <c r="I160" s="21"/>
      <c r="J160" s="21"/>
      <c r="K160" s="21"/>
      <c r="L160" s="21"/>
      <c r="M160" s="21"/>
      <c r="N160" s="21"/>
    </row>
    <row r="161" spans="1:14" ht="21" customHeight="1" x14ac:dyDescent="0.25">
      <c r="A161" s="151"/>
      <c r="B161" s="64">
        <v>2310</v>
      </c>
      <c r="C161" s="64" t="s">
        <v>8</v>
      </c>
      <c r="D161" s="64">
        <v>1</v>
      </c>
      <c r="E161" s="64">
        <v>0</v>
      </c>
      <c r="F161" s="71" t="s">
        <v>218</v>
      </c>
      <c r="G161" s="64"/>
      <c r="H161" s="21"/>
      <c r="I161" s="21"/>
      <c r="J161" s="21"/>
      <c r="K161" s="21"/>
      <c r="L161" s="21"/>
      <c r="M161" s="21"/>
      <c r="N161" s="21"/>
    </row>
    <row r="162" spans="1:14" ht="50.25" customHeight="1" x14ac:dyDescent="0.25">
      <c r="A162" s="151"/>
      <c r="B162" s="64"/>
      <c r="C162" s="64"/>
      <c r="D162" s="64"/>
      <c r="E162" s="64"/>
      <c r="F162" s="71" t="s">
        <v>156</v>
      </c>
      <c r="G162" s="64"/>
      <c r="H162" s="21"/>
      <c r="I162" s="21"/>
      <c r="J162" s="21"/>
      <c r="K162" s="21"/>
      <c r="L162" s="21"/>
      <c r="M162" s="21"/>
      <c r="N162" s="21"/>
    </row>
    <row r="163" spans="1:14" x14ac:dyDescent="0.25">
      <c r="A163" s="151"/>
      <c r="B163" s="64">
        <v>2311</v>
      </c>
      <c r="C163" s="64" t="s">
        <v>8</v>
      </c>
      <c r="D163" s="64">
        <v>1</v>
      </c>
      <c r="E163" s="64">
        <v>1</v>
      </c>
      <c r="F163" s="71" t="s">
        <v>219</v>
      </c>
      <c r="G163" s="64"/>
      <c r="H163" s="21"/>
      <c r="I163" s="21"/>
      <c r="J163" s="21"/>
      <c r="K163" s="21"/>
      <c r="L163" s="21"/>
      <c r="M163" s="21"/>
      <c r="N163" s="21"/>
    </row>
    <row r="164" spans="1:14" ht="40.5" x14ac:dyDescent="0.25">
      <c r="A164" s="151"/>
      <c r="B164" s="64"/>
      <c r="C164" s="64"/>
      <c r="D164" s="64"/>
      <c r="E164" s="64"/>
      <c r="F164" s="71" t="s">
        <v>177</v>
      </c>
      <c r="G164" s="64"/>
      <c r="H164" s="21"/>
      <c r="I164" s="21"/>
      <c r="J164" s="21"/>
      <c r="K164" s="21"/>
      <c r="L164" s="21"/>
      <c r="M164" s="21"/>
      <c r="N164" s="21"/>
    </row>
    <row r="165" spans="1:14" x14ac:dyDescent="0.25">
      <c r="A165" s="151"/>
      <c r="B165" s="64"/>
      <c r="C165" s="64"/>
      <c r="D165" s="64"/>
      <c r="E165" s="64"/>
      <c r="F165" s="71" t="s">
        <v>178</v>
      </c>
      <c r="G165" s="64"/>
      <c r="H165" s="21"/>
      <c r="I165" s="21"/>
      <c r="J165" s="21"/>
      <c r="K165" s="21"/>
      <c r="L165" s="21"/>
      <c r="M165" s="21"/>
      <c r="N165" s="21"/>
    </row>
    <row r="166" spans="1:14" ht="48" customHeight="1" x14ac:dyDescent="0.25">
      <c r="A166" s="151"/>
      <c r="B166" s="64"/>
      <c r="C166" s="64"/>
      <c r="D166" s="64"/>
      <c r="E166" s="64"/>
      <c r="F166" s="71" t="s">
        <v>178</v>
      </c>
      <c r="G166" s="64"/>
      <c r="H166" s="21"/>
      <c r="I166" s="21"/>
      <c r="J166" s="21"/>
      <c r="K166" s="21"/>
      <c r="L166" s="21"/>
      <c r="M166" s="21"/>
      <c r="N166" s="21"/>
    </row>
    <row r="167" spans="1:14" x14ac:dyDescent="0.25">
      <c r="A167" s="151"/>
      <c r="B167" s="64">
        <v>2312</v>
      </c>
      <c r="C167" s="64" t="s">
        <v>8</v>
      </c>
      <c r="D167" s="64">
        <v>1</v>
      </c>
      <c r="E167" s="64">
        <v>2</v>
      </c>
      <c r="F167" s="71" t="s">
        <v>220</v>
      </c>
      <c r="G167" s="64"/>
      <c r="H167" s="21"/>
      <c r="I167" s="21"/>
      <c r="J167" s="21"/>
      <c r="K167" s="21"/>
      <c r="L167" s="21"/>
      <c r="M167" s="21"/>
      <c r="N167" s="21"/>
    </row>
    <row r="168" spans="1:14" ht="40.5" x14ac:dyDescent="0.25">
      <c r="A168" s="151"/>
      <c r="B168" s="64"/>
      <c r="C168" s="64"/>
      <c r="D168" s="64"/>
      <c r="E168" s="64"/>
      <c r="F168" s="71" t="s">
        <v>177</v>
      </c>
      <c r="G168" s="64"/>
      <c r="H168" s="21"/>
      <c r="I168" s="21"/>
      <c r="J168" s="21"/>
      <c r="K168" s="21"/>
      <c r="L168" s="21"/>
      <c r="M168" s="21"/>
      <c r="N168" s="21"/>
    </row>
    <row r="169" spans="1:14" x14ac:dyDescent="0.25">
      <c r="A169" s="151"/>
      <c r="B169" s="64"/>
      <c r="C169" s="64"/>
      <c r="D169" s="64"/>
      <c r="E169" s="64"/>
      <c r="F169" s="71" t="s">
        <v>178</v>
      </c>
      <c r="G169" s="64"/>
      <c r="H169" s="21"/>
      <c r="I169" s="21"/>
      <c r="J169" s="21"/>
      <c r="K169" s="21"/>
      <c r="L169" s="21"/>
      <c r="M169" s="21"/>
      <c r="N169" s="21"/>
    </row>
    <row r="170" spans="1:14" ht="50.25" customHeight="1" x14ac:dyDescent="0.25">
      <c r="A170" s="151"/>
      <c r="B170" s="64"/>
      <c r="C170" s="64"/>
      <c r="D170" s="64"/>
      <c r="E170" s="64"/>
      <c r="F170" s="71" t="s">
        <v>178</v>
      </c>
      <c r="G170" s="64"/>
      <c r="H170" s="21"/>
      <c r="I170" s="21"/>
      <c r="J170" s="21"/>
      <c r="K170" s="21"/>
      <c r="L170" s="21"/>
      <c r="M170" s="21"/>
      <c r="N170" s="21"/>
    </row>
    <row r="171" spans="1:14" x14ac:dyDescent="0.25">
      <c r="A171" s="151"/>
      <c r="B171" s="64">
        <v>2313</v>
      </c>
      <c r="C171" s="64" t="s">
        <v>8</v>
      </c>
      <c r="D171" s="64">
        <v>1</v>
      </c>
      <c r="E171" s="64">
        <v>3</v>
      </c>
      <c r="F171" s="71" t="s">
        <v>221</v>
      </c>
      <c r="G171" s="64"/>
      <c r="H171" s="21"/>
      <c r="I171" s="21"/>
      <c r="J171" s="21"/>
      <c r="K171" s="21"/>
      <c r="L171" s="21"/>
      <c r="M171" s="21"/>
      <c r="N171" s="21"/>
    </row>
    <row r="172" spans="1:14" ht="40.5" x14ac:dyDescent="0.25">
      <c r="A172" s="151"/>
      <c r="B172" s="64"/>
      <c r="C172" s="64"/>
      <c r="D172" s="64"/>
      <c r="E172" s="64"/>
      <c r="F172" s="71" t="s">
        <v>177</v>
      </c>
      <c r="G172" s="64"/>
      <c r="H172" s="21"/>
      <c r="I172" s="21"/>
      <c r="J172" s="21"/>
      <c r="K172" s="21"/>
      <c r="L172" s="21"/>
      <c r="M172" s="21"/>
      <c r="N172" s="21"/>
    </row>
    <row r="173" spans="1:14" x14ac:dyDescent="0.25">
      <c r="A173" s="151"/>
      <c r="B173" s="64"/>
      <c r="C173" s="64"/>
      <c r="D173" s="64"/>
      <c r="E173" s="64"/>
      <c r="F173" s="71" t="s">
        <v>178</v>
      </c>
      <c r="G173" s="64"/>
      <c r="H173" s="21"/>
      <c r="I173" s="21"/>
      <c r="J173" s="21"/>
      <c r="K173" s="21"/>
      <c r="L173" s="21"/>
      <c r="M173" s="21"/>
      <c r="N173" s="21"/>
    </row>
    <row r="174" spans="1:14" x14ac:dyDescent="0.25">
      <c r="A174" s="151"/>
      <c r="B174" s="64"/>
      <c r="C174" s="64"/>
      <c r="D174" s="64"/>
      <c r="E174" s="64"/>
      <c r="F174" s="71" t="s">
        <v>178</v>
      </c>
      <c r="G174" s="64"/>
      <c r="H174" s="21"/>
      <c r="I174" s="21"/>
      <c r="J174" s="21"/>
      <c r="K174" s="21"/>
      <c r="L174" s="21"/>
      <c r="M174" s="21"/>
      <c r="N174" s="21"/>
    </row>
    <row r="175" spans="1:14" x14ac:dyDescent="0.25">
      <c r="A175" s="151"/>
      <c r="B175" s="64">
        <v>2320</v>
      </c>
      <c r="C175" s="64" t="s">
        <v>8</v>
      </c>
      <c r="D175" s="64">
        <v>2</v>
      </c>
      <c r="E175" s="64">
        <v>0</v>
      </c>
      <c r="F175" s="71" t="s">
        <v>222</v>
      </c>
      <c r="G175" s="64"/>
      <c r="H175" s="21"/>
      <c r="I175" s="21"/>
      <c r="J175" s="21"/>
      <c r="K175" s="21"/>
      <c r="L175" s="21"/>
      <c r="M175" s="21"/>
      <c r="N175" s="21"/>
    </row>
    <row r="176" spans="1:14" ht="54.75" customHeight="1" x14ac:dyDescent="0.25">
      <c r="A176" s="151"/>
      <c r="B176" s="64"/>
      <c r="C176" s="64"/>
      <c r="D176" s="64"/>
      <c r="E176" s="64"/>
      <c r="F176" s="71" t="s">
        <v>156</v>
      </c>
      <c r="G176" s="64"/>
      <c r="H176" s="21"/>
      <c r="I176" s="21"/>
      <c r="J176" s="21"/>
      <c r="K176" s="21"/>
      <c r="L176" s="21"/>
      <c r="M176" s="21"/>
      <c r="N176" s="21"/>
    </row>
    <row r="177" spans="1:14" x14ac:dyDescent="0.25">
      <c r="A177" s="151"/>
      <c r="B177" s="64">
        <v>2321</v>
      </c>
      <c r="C177" s="64" t="s">
        <v>8</v>
      </c>
      <c r="D177" s="64">
        <v>2</v>
      </c>
      <c r="E177" s="64">
        <v>1</v>
      </c>
      <c r="F177" s="71" t="s">
        <v>223</v>
      </c>
      <c r="G177" s="64"/>
      <c r="H177" s="21"/>
      <c r="I177" s="21"/>
      <c r="J177" s="21"/>
      <c r="K177" s="21"/>
      <c r="L177" s="21"/>
      <c r="M177" s="21"/>
      <c r="N177" s="21"/>
    </row>
    <row r="178" spans="1:14" ht="40.5" x14ac:dyDescent="0.25">
      <c r="A178" s="151"/>
      <c r="B178" s="64"/>
      <c r="C178" s="64"/>
      <c r="D178" s="64"/>
      <c r="E178" s="64"/>
      <c r="F178" s="71" t="s">
        <v>177</v>
      </c>
      <c r="G178" s="64"/>
      <c r="H178" s="21"/>
      <c r="I178" s="21"/>
      <c r="J178" s="21"/>
      <c r="K178" s="21"/>
      <c r="L178" s="21"/>
      <c r="M178" s="21"/>
      <c r="N178" s="21"/>
    </row>
    <row r="179" spans="1:14" ht="33.75" customHeight="1" x14ac:dyDescent="0.25">
      <c r="A179" s="151"/>
      <c r="B179" s="64"/>
      <c r="C179" s="64"/>
      <c r="D179" s="64"/>
      <c r="E179" s="64"/>
      <c r="F179" s="71" t="s">
        <v>178</v>
      </c>
      <c r="G179" s="64"/>
      <c r="H179" s="21"/>
      <c r="I179" s="21"/>
      <c r="J179" s="21"/>
      <c r="K179" s="21"/>
      <c r="L179" s="21"/>
      <c r="M179" s="21"/>
      <c r="N179" s="21"/>
    </row>
    <row r="180" spans="1:14" x14ac:dyDescent="0.25">
      <c r="A180" s="151"/>
      <c r="B180" s="64"/>
      <c r="C180" s="64"/>
      <c r="D180" s="64"/>
      <c r="E180" s="64"/>
      <c r="F180" s="71" t="s">
        <v>178</v>
      </c>
      <c r="G180" s="64"/>
      <c r="H180" s="21"/>
      <c r="I180" s="21"/>
      <c r="J180" s="21"/>
      <c r="K180" s="21"/>
      <c r="L180" s="21"/>
      <c r="M180" s="21"/>
      <c r="N180" s="21"/>
    </row>
    <row r="181" spans="1:14" ht="27" x14ac:dyDescent="0.25">
      <c r="A181" s="151"/>
      <c r="B181" s="64">
        <v>2330</v>
      </c>
      <c r="C181" s="64" t="s">
        <v>8</v>
      </c>
      <c r="D181" s="64">
        <v>3</v>
      </c>
      <c r="E181" s="64">
        <v>0</v>
      </c>
      <c r="F181" s="71" t="s">
        <v>224</v>
      </c>
      <c r="G181" s="64"/>
      <c r="H181" s="21"/>
      <c r="I181" s="21"/>
      <c r="J181" s="21"/>
      <c r="K181" s="21"/>
      <c r="L181" s="21"/>
      <c r="M181" s="21"/>
      <c r="N181" s="21"/>
    </row>
    <row r="182" spans="1:14" ht="48.75" customHeight="1" x14ac:dyDescent="0.25">
      <c r="A182" s="151"/>
      <c r="B182" s="64"/>
      <c r="C182" s="64"/>
      <c r="D182" s="64"/>
      <c r="E182" s="64"/>
      <c r="F182" s="71" t="s">
        <v>156</v>
      </c>
      <c r="G182" s="64"/>
      <c r="H182" s="21"/>
      <c r="I182" s="21"/>
      <c r="J182" s="21"/>
      <c r="K182" s="21"/>
      <c r="L182" s="21"/>
      <c r="M182" s="21"/>
      <c r="N182" s="21"/>
    </row>
    <row r="183" spans="1:14" x14ac:dyDescent="0.25">
      <c r="A183" s="151"/>
      <c r="B183" s="64">
        <v>2331</v>
      </c>
      <c r="C183" s="64" t="s">
        <v>8</v>
      </c>
      <c r="D183" s="64">
        <v>3</v>
      </c>
      <c r="E183" s="64">
        <v>1</v>
      </c>
      <c r="F183" s="71" t="s">
        <v>225</v>
      </c>
      <c r="G183" s="64"/>
      <c r="H183" s="21"/>
      <c r="I183" s="21"/>
      <c r="J183" s="21"/>
      <c r="K183" s="21"/>
      <c r="L183" s="21"/>
      <c r="M183" s="21"/>
      <c r="N183" s="21"/>
    </row>
    <row r="184" spans="1:14" ht="40.5" x14ac:dyDescent="0.25">
      <c r="A184" s="151"/>
      <c r="B184" s="64"/>
      <c r="C184" s="64"/>
      <c r="D184" s="64"/>
      <c r="E184" s="64"/>
      <c r="F184" s="71" t="s">
        <v>177</v>
      </c>
      <c r="G184" s="64"/>
      <c r="H184" s="21"/>
      <c r="I184" s="21"/>
      <c r="J184" s="21"/>
      <c r="K184" s="21"/>
      <c r="L184" s="21"/>
      <c r="M184" s="21"/>
      <c r="N184" s="21"/>
    </row>
    <row r="185" spans="1:14" x14ac:dyDescent="0.25">
      <c r="A185" s="151"/>
      <c r="B185" s="64"/>
      <c r="C185" s="64"/>
      <c r="D185" s="64"/>
      <c r="E185" s="64"/>
      <c r="F185" s="71" t="s">
        <v>178</v>
      </c>
      <c r="G185" s="64"/>
      <c r="H185" s="21"/>
      <c r="I185" s="21"/>
      <c r="J185" s="21"/>
      <c r="K185" s="21"/>
      <c r="L185" s="21"/>
      <c r="M185" s="21"/>
      <c r="N185" s="21"/>
    </row>
    <row r="186" spans="1:14" ht="55.5" customHeight="1" x14ac:dyDescent="0.25">
      <c r="A186" s="151"/>
      <c r="B186" s="64"/>
      <c r="C186" s="64"/>
      <c r="D186" s="64"/>
      <c r="E186" s="64"/>
      <c r="F186" s="71" t="s">
        <v>178</v>
      </c>
      <c r="G186" s="64"/>
      <c r="H186" s="21"/>
      <c r="I186" s="21"/>
      <c r="J186" s="21"/>
      <c r="K186" s="21"/>
      <c r="L186" s="21"/>
      <c r="M186" s="21"/>
      <c r="N186" s="21"/>
    </row>
    <row r="187" spans="1:14" x14ac:dyDescent="0.25">
      <c r="A187" s="151"/>
      <c r="B187" s="64">
        <v>2332</v>
      </c>
      <c r="C187" s="64" t="s">
        <v>8</v>
      </c>
      <c r="D187" s="64">
        <v>3</v>
      </c>
      <c r="E187" s="64">
        <v>2</v>
      </c>
      <c r="F187" s="71" t="s">
        <v>226</v>
      </c>
      <c r="G187" s="64"/>
      <c r="H187" s="21"/>
      <c r="I187" s="21"/>
      <c r="J187" s="21"/>
      <c r="K187" s="21"/>
      <c r="L187" s="21"/>
      <c r="M187" s="21"/>
      <c r="N187" s="21"/>
    </row>
    <row r="188" spans="1:14" ht="40.5" x14ac:dyDescent="0.25">
      <c r="A188" s="151"/>
      <c r="B188" s="64"/>
      <c r="C188" s="64"/>
      <c r="D188" s="64"/>
      <c r="E188" s="64"/>
      <c r="F188" s="71" t="s">
        <v>177</v>
      </c>
      <c r="G188" s="64"/>
      <c r="H188" s="21"/>
      <c r="I188" s="21"/>
      <c r="J188" s="21"/>
      <c r="K188" s="21"/>
      <c r="L188" s="21"/>
      <c r="M188" s="21"/>
      <c r="N188" s="21"/>
    </row>
    <row r="189" spans="1:14" x14ac:dyDescent="0.25">
      <c r="A189" s="151"/>
      <c r="B189" s="64"/>
      <c r="C189" s="64"/>
      <c r="D189" s="64"/>
      <c r="E189" s="64"/>
      <c r="F189" s="71" t="s">
        <v>178</v>
      </c>
      <c r="G189" s="64"/>
      <c r="H189" s="21"/>
      <c r="I189" s="21"/>
      <c r="J189" s="21"/>
      <c r="K189" s="21"/>
      <c r="L189" s="21"/>
      <c r="M189" s="21"/>
      <c r="N189" s="21"/>
    </row>
    <row r="190" spans="1:14" x14ac:dyDescent="0.25">
      <c r="A190" s="151"/>
      <c r="B190" s="64"/>
      <c r="C190" s="64"/>
      <c r="D190" s="64"/>
      <c r="E190" s="64"/>
      <c r="F190" s="71" t="s">
        <v>178</v>
      </c>
      <c r="G190" s="64"/>
      <c r="H190" s="21"/>
      <c r="I190" s="21"/>
      <c r="J190" s="21"/>
      <c r="K190" s="21"/>
      <c r="L190" s="21"/>
      <c r="M190" s="21"/>
      <c r="N190" s="21"/>
    </row>
    <row r="191" spans="1:14" x14ac:dyDescent="0.25">
      <c r="A191" s="151"/>
      <c r="B191" s="64">
        <v>2340</v>
      </c>
      <c r="C191" s="64" t="s">
        <v>8</v>
      </c>
      <c r="D191" s="64">
        <v>4</v>
      </c>
      <c r="E191" s="64">
        <v>0</v>
      </c>
      <c r="F191" s="71" t="s">
        <v>227</v>
      </c>
      <c r="G191" s="64"/>
      <c r="H191" s="21"/>
      <c r="I191" s="21"/>
      <c r="J191" s="21"/>
      <c r="K191" s="21"/>
      <c r="L191" s="21"/>
      <c r="M191" s="21"/>
      <c r="N191" s="21"/>
    </row>
    <row r="192" spans="1:14" ht="53.25" customHeight="1" x14ac:dyDescent="0.25">
      <c r="A192" s="151"/>
      <c r="B192" s="64"/>
      <c r="C192" s="64"/>
      <c r="D192" s="64"/>
      <c r="E192" s="64"/>
      <c r="F192" s="71" t="s">
        <v>156</v>
      </c>
      <c r="G192" s="64"/>
      <c r="H192" s="21"/>
      <c r="I192" s="21"/>
      <c r="J192" s="21"/>
      <c r="K192" s="21"/>
      <c r="L192" s="21"/>
      <c r="M192" s="21"/>
      <c r="N192" s="21"/>
    </row>
    <row r="193" spans="1:14" x14ac:dyDescent="0.25">
      <c r="A193" s="151"/>
      <c r="B193" s="64">
        <v>2341</v>
      </c>
      <c r="C193" s="64" t="s">
        <v>8</v>
      </c>
      <c r="D193" s="64">
        <v>4</v>
      </c>
      <c r="E193" s="64">
        <v>1</v>
      </c>
      <c r="F193" s="71" t="s">
        <v>227</v>
      </c>
      <c r="G193" s="64"/>
      <c r="H193" s="21"/>
      <c r="I193" s="21"/>
      <c r="J193" s="21"/>
      <c r="K193" s="21"/>
      <c r="L193" s="21"/>
      <c r="M193" s="21"/>
      <c r="N193" s="21"/>
    </row>
    <row r="194" spans="1:14" ht="40.5" x14ac:dyDescent="0.25">
      <c r="A194" s="151"/>
      <c r="B194" s="64"/>
      <c r="C194" s="64"/>
      <c r="D194" s="64"/>
      <c r="E194" s="64"/>
      <c r="F194" s="71" t="s">
        <v>177</v>
      </c>
      <c r="G194" s="64"/>
      <c r="H194" s="21"/>
      <c r="I194" s="21"/>
      <c r="J194" s="21"/>
      <c r="K194" s="21"/>
      <c r="L194" s="21"/>
      <c r="M194" s="21"/>
      <c r="N194" s="21"/>
    </row>
    <row r="195" spans="1:14" x14ac:dyDescent="0.25">
      <c r="A195" s="151"/>
      <c r="B195" s="64"/>
      <c r="C195" s="64"/>
      <c r="D195" s="64"/>
      <c r="E195" s="64"/>
      <c r="F195" s="71" t="s">
        <v>178</v>
      </c>
      <c r="G195" s="64"/>
      <c r="H195" s="21"/>
      <c r="I195" s="21"/>
      <c r="J195" s="21"/>
      <c r="K195" s="21"/>
      <c r="L195" s="21"/>
      <c r="M195" s="21"/>
      <c r="N195" s="21"/>
    </row>
    <row r="196" spans="1:14" x14ac:dyDescent="0.25">
      <c r="A196" s="151"/>
      <c r="B196" s="64"/>
      <c r="C196" s="64"/>
      <c r="D196" s="64"/>
      <c r="E196" s="64"/>
      <c r="F196" s="71" t="s">
        <v>178</v>
      </c>
      <c r="G196" s="64"/>
      <c r="H196" s="21"/>
      <c r="I196" s="21"/>
      <c r="J196" s="21"/>
      <c r="K196" s="21"/>
      <c r="L196" s="21"/>
      <c r="M196" s="21"/>
      <c r="N196" s="21"/>
    </row>
    <row r="197" spans="1:14" x14ac:dyDescent="0.25">
      <c r="A197" s="151"/>
      <c r="B197" s="64">
        <v>2350</v>
      </c>
      <c r="C197" s="64" t="s">
        <v>8</v>
      </c>
      <c r="D197" s="64">
        <v>5</v>
      </c>
      <c r="E197" s="64">
        <v>0</v>
      </c>
      <c r="F197" s="71" t="s">
        <v>228</v>
      </c>
      <c r="G197" s="64"/>
      <c r="H197" s="21"/>
      <c r="I197" s="21"/>
      <c r="J197" s="21"/>
      <c r="K197" s="21"/>
      <c r="L197" s="21"/>
      <c r="M197" s="21"/>
      <c r="N197" s="21"/>
    </row>
    <row r="198" spans="1:14" ht="54" customHeight="1" x14ac:dyDescent="0.25">
      <c r="A198" s="151"/>
      <c r="B198" s="64"/>
      <c r="C198" s="64"/>
      <c r="D198" s="64"/>
      <c r="E198" s="64"/>
      <c r="F198" s="71" t="s">
        <v>156</v>
      </c>
      <c r="G198" s="64"/>
      <c r="H198" s="21"/>
      <c r="I198" s="21"/>
      <c r="J198" s="21"/>
      <c r="K198" s="21"/>
      <c r="L198" s="21"/>
      <c r="M198" s="21"/>
      <c r="N198" s="21"/>
    </row>
    <row r="199" spans="1:14" x14ac:dyDescent="0.25">
      <c r="A199" s="151"/>
      <c r="B199" s="64">
        <v>2351</v>
      </c>
      <c r="C199" s="64" t="s">
        <v>8</v>
      </c>
      <c r="D199" s="64">
        <v>5</v>
      </c>
      <c r="E199" s="64">
        <v>1</v>
      </c>
      <c r="F199" s="71" t="s">
        <v>229</v>
      </c>
      <c r="G199" s="64"/>
      <c r="H199" s="21"/>
      <c r="I199" s="21"/>
      <c r="J199" s="21"/>
      <c r="K199" s="21"/>
      <c r="L199" s="21"/>
      <c r="M199" s="21"/>
      <c r="N199" s="21"/>
    </row>
    <row r="200" spans="1:14" ht="40.5" x14ac:dyDescent="0.25">
      <c r="A200" s="151"/>
      <c r="B200" s="64"/>
      <c r="C200" s="64"/>
      <c r="D200" s="64"/>
      <c r="E200" s="64"/>
      <c r="F200" s="71" t="s">
        <v>177</v>
      </c>
      <c r="G200" s="64"/>
      <c r="H200" s="21"/>
      <c r="I200" s="21"/>
      <c r="J200" s="21"/>
      <c r="K200" s="21"/>
      <c r="L200" s="21"/>
      <c r="M200" s="21"/>
      <c r="N200" s="21"/>
    </row>
    <row r="201" spans="1:14" ht="56.25" customHeight="1" x14ac:dyDescent="0.25">
      <c r="A201" s="151"/>
      <c r="B201" s="64"/>
      <c r="C201" s="64"/>
      <c r="D201" s="64"/>
      <c r="E201" s="64"/>
      <c r="F201" s="71" t="s">
        <v>178</v>
      </c>
      <c r="G201" s="64"/>
      <c r="H201" s="21"/>
      <c r="I201" s="21"/>
      <c r="J201" s="21"/>
      <c r="K201" s="21"/>
      <c r="L201" s="21"/>
      <c r="M201" s="21"/>
      <c r="N201" s="21"/>
    </row>
    <row r="202" spans="1:14" x14ac:dyDescent="0.25">
      <c r="A202" s="151"/>
      <c r="B202" s="64"/>
      <c r="C202" s="64"/>
      <c r="D202" s="64"/>
      <c r="E202" s="64"/>
      <c r="F202" s="71" t="s">
        <v>178</v>
      </c>
      <c r="G202" s="64"/>
      <c r="H202" s="21"/>
      <c r="I202" s="21"/>
      <c r="J202" s="21"/>
      <c r="K202" s="21"/>
      <c r="L202" s="21"/>
      <c r="M202" s="21"/>
      <c r="N202" s="21"/>
    </row>
    <row r="203" spans="1:14" ht="53.25" customHeight="1" x14ac:dyDescent="0.25">
      <c r="A203" s="151"/>
      <c r="B203" s="64">
        <v>2360</v>
      </c>
      <c r="C203" s="64" t="s">
        <v>8</v>
      </c>
      <c r="D203" s="64">
        <v>6</v>
      </c>
      <c r="E203" s="64">
        <v>0</v>
      </c>
      <c r="F203" s="71" t="s">
        <v>230</v>
      </c>
      <c r="G203" s="64"/>
      <c r="H203" s="21"/>
      <c r="I203" s="21"/>
      <c r="J203" s="21"/>
      <c r="K203" s="21"/>
      <c r="L203" s="21"/>
      <c r="M203" s="21"/>
      <c r="N203" s="21"/>
    </row>
    <row r="204" spans="1:14" ht="51" customHeight="1" x14ac:dyDescent="0.25">
      <c r="A204" s="151"/>
      <c r="B204" s="64"/>
      <c r="C204" s="64"/>
      <c r="D204" s="64"/>
      <c r="E204" s="64"/>
      <c r="F204" s="71" t="s">
        <v>156</v>
      </c>
      <c r="G204" s="64"/>
      <c r="H204" s="21"/>
      <c r="I204" s="21"/>
      <c r="J204" s="21"/>
      <c r="K204" s="21"/>
      <c r="L204" s="21"/>
      <c r="M204" s="21"/>
      <c r="N204" s="21"/>
    </row>
    <row r="205" spans="1:14" ht="40.5" x14ac:dyDescent="0.25">
      <c r="A205" s="151"/>
      <c r="B205" s="64">
        <v>2361</v>
      </c>
      <c r="C205" s="64" t="s">
        <v>8</v>
      </c>
      <c r="D205" s="64">
        <v>6</v>
      </c>
      <c r="E205" s="64">
        <v>1</v>
      </c>
      <c r="F205" s="71" t="s">
        <v>230</v>
      </c>
      <c r="G205" s="64"/>
      <c r="H205" s="21"/>
      <c r="I205" s="21"/>
      <c r="J205" s="21"/>
      <c r="K205" s="21"/>
      <c r="L205" s="21"/>
      <c r="M205" s="21"/>
      <c r="N205" s="21"/>
    </row>
    <row r="206" spans="1:14" ht="40.5" x14ac:dyDescent="0.25">
      <c r="A206" s="151"/>
      <c r="B206" s="64"/>
      <c r="C206" s="64"/>
      <c r="D206" s="64"/>
      <c r="E206" s="64"/>
      <c r="F206" s="71" t="s">
        <v>177</v>
      </c>
      <c r="G206" s="64"/>
      <c r="H206" s="21"/>
      <c r="I206" s="21"/>
      <c r="J206" s="21"/>
      <c r="K206" s="21"/>
      <c r="L206" s="21"/>
      <c r="M206" s="21"/>
      <c r="N206" s="21"/>
    </row>
    <row r="207" spans="1:14" ht="36" customHeight="1" x14ac:dyDescent="0.25">
      <c r="A207" s="151"/>
      <c r="B207" s="64"/>
      <c r="C207" s="64"/>
      <c r="D207" s="64"/>
      <c r="E207" s="64"/>
      <c r="F207" s="71" t="s">
        <v>178</v>
      </c>
      <c r="G207" s="64"/>
      <c r="H207" s="21"/>
      <c r="I207" s="21"/>
      <c r="J207" s="21"/>
      <c r="K207" s="21"/>
      <c r="L207" s="21"/>
      <c r="M207" s="21"/>
      <c r="N207" s="21"/>
    </row>
    <row r="208" spans="1:14" x14ac:dyDescent="0.25">
      <c r="A208" s="151"/>
      <c r="B208" s="64"/>
      <c r="C208" s="64"/>
      <c r="D208" s="64"/>
      <c r="E208" s="64"/>
      <c r="F208" s="71" t="s">
        <v>178</v>
      </c>
      <c r="G208" s="64"/>
      <c r="H208" s="21"/>
      <c r="I208" s="21"/>
      <c r="J208" s="21"/>
      <c r="K208" s="21"/>
      <c r="L208" s="21"/>
      <c r="M208" s="21"/>
      <c r="N208" s="21"/>
    </row>
    <row r="209" spans="1:14" ht="36.75" customHeight="1" x14ac:dyDescent="0.25">
      <c r="A209" s="151"/>
      <c r="B209" s="64">
        <v>2370</v>
      </c>
      <c r="C209" s="64" t="s">
        <v>8</v>
      </c>
      <c r="D209" s="64">
        <v>7</v>
      </c>
      <c r="E209" s="64">
        <v>0</v>
      </c>
      <c r="F209" s="71" t="s">
        <v>232</v>
      </c>
      <c r="G209" s="64"/>
      <c r="H209" s="21"/>
      <c r="I209" s="21"/>
      <c r="J209" s="21"/>
      <c r="K209" s="21"/>
      <c r="L209" s="21"/>
      <c r="M209" s="21"/>
      <c r="N209" s="21"/>
    </row>
    <row r="210" spans="1:14" ht="52.5" customHeight="1" x14ac:dyDescent="0.25">
      <c r="A210" s="151"/>
      <c r="B210" s="64"/>
      <c r="C210" s="64"/>
      <c r="D210" s="64"/>
      <c r="E210" s="64"/>
      <c r="F210" s="71" t="s">
        <v>156</v>
      </c>
      <c r="G210" s="64"/>
      <c r="H210" s="21"/>
      <c r="I210" s="21"/>
      <c r="J210" s="21"/>
      <c r="K210" s="21"/>
      <c r="L210" s="21"/>
      <c r="M210" s="21"/>
      <c r="N210" s="21"/>
    </row>
    <row r="211" spans="1:14" ht="27" x14ac:dyDescent="0.25">
      <c r="A211" s="151"/>
      <c r="B211" s="64">
        <v>2371</v>
      </c>
      <c r="C211" s="64" t="s">
        <v>8</v>
      </c>
      <c r="D211" s="64">
        <v>7</v>
      </c>
      <c r="E211" s="64">
        <v>1</v>
      </c>
      <c r="F211" s="71" t="s">
        <v>232</v>
      </c>
      <c r="G211" s="64"/>
      <c r="H211" s="21"/>
      <c r="I211" s="21"/>
      <c r="J211" s="21"/>
      <c r="K211" s="21"/>
      <c r="L211" s="21"/>
      <c r="M211" s="21"/>
      <c r="N211" s="21"/>
    </row>
    <row r="212" spans="1:14" ht="40.5" x14ac:dyDescent="0.25">
      <c r="A212" s="151"/>
      <c r="B212" s="64"/>
      <c r="C212" s="64"/>
      <c r="D212" s="64"/>
      <c r="E212" s="64"/>
      <c r="F212" s="71" t="s">
        <v>177</v>
      </c>
      <c r="G212" s="64"/>
      <c r="H212" s="21"/>
      <c r="I212" s="21"/>
      <c r="J212" s="21"/>
      <c r="K212" s="21"/>
      <c r="L212" s="21"/>
      <c r="M212" s="21"/>
      <c r="N212" s="21"/>
    </row>
    <row r="213" spans="1:14" x14ac:dyDescent="0.25">
      <c r="A213" s="151"/>
      <c r="B213" s="64"/>
      <c r="C213" s="64"/>
      <c r="D213" s="64"/>
      <c r="E213" s="64"/>
      <c r="F213" s="71" t="s">
        <v>178</v>
      </c>
      <c r="G213" s="64"/>
      <c r="H213" s="21"/>
      <c r="I213" s="21"/>
      <c r="J213" s="21"/>
      <c r="K213" s="21"/>
      <c r="L213" s="21"/>
      <c r="M213" s="21"/>
      <c r="N213" s="21"/>
    </row>
    <row r="214" spans="1:14" x14ac:dyDescent="0.25">
      <c r="A214" s="151"/>
      <c r="B214" s="64"/>
      <c r="C214" s="64"/>
      <c r="D214" s="64"/>
      <c r="E214" s="64"/>
      <c r="F214" s="71" t="s">
        <v>178</v>
      </c>
      <c r="G214" s="64"/>
      <c r="H214" s="21"/>
      <c r="I214" s="21"/>
      <c r="J214" s="21"/>
      <c r="K214" s="21"/>
      <c r="L214" s="21"/>
      <c r="M214" s="21"/>
      <c r="N214" s="21"/>
    </row>
    <row r="215" spans="1:14" ht="40.5" x14ac:dyDescent="0.25">
      <c r="A215" s="151"/>
      <c r="B215" s="64">
        <v>2400</v>
      </c>
      <c r="C215" s="64" t="s">
        <v>9</v>
      </c>
      <c r="D215" s="64">
        <v>0</v>
      </c>
      <c r="E215" s="64">
        <v>0</v>
      </c>
      <c r="F215" s="71" t="s">
        <v>233</v>
      </c>
      <c r="G215" s="64"/>
      <c r="H215" s="21">
        <f t="shared" ref="H215:N215" si="38">H217+H227+H247+H261+H275+H302+H308+H326+H344</f>
        <v>2672651.529000001</v>
      </c>
      <c r="I215" s="21">
        <f t="shared" si="38"/>
        <v>334477.2</v>
      </c>
      <c r="J215" s="21">
        <f t="shared" si="38"/>
        <v>2338174.3290000008</v>
      </c>
      <c r="K215" s="21">
        <f t="shared" si="38"/>
        <v>2270897.4398476197</v>
      </c>
      <c r="L215" s="21">
        <f t="shared" si="38"/>
        <v>2361096.7866460318</v>
      </c>
      <c r="M215" s="21">
        <f t="shared" si="38"/>
        <v>2570621.8968190155</v>
      </c>
      <c r="N215" s="21">
        <f t="shared" si="38"/>
        <v>2672651.529000001</v>
      </c>
    </row>
    <row r="216" spans="1:14" x14ac:dyDescent="0.25">
      <c r="A216" s="151"/>
      <c r="B216" s="64"/>
      <c r="C216" s="64"/>
      <c r="D216" s="64"/>
      <c r="E216" s="64"/>
      <c r="F216" s="71" t="s">
        <v>154</v>
      </c>
      <c r="G216" s="64"/>
      <c r="H216" s="21"/>
      <c r="I216" s="21"/>
      <c r="J216" s="21"/>
      <c r="K216" s="21"/>
      <c r="L216" s="21"/>
      <c r="M216" s="21"/>
      <c r="N216" s="21"/>
    </row>
    <row r="217" spans="1:14" ht="34.5" customHeight="1" x14ac:dyDescent="0.25">
      <c r="A217" s="151"/>
      <c r="B217" s="64">
        <v>2410</v>
      </c>
      <c r="C217" s="64" t="s">
        <v>9</v>
      </c>
      <c r="D217" s="64">
        <v>1</v>
      </c>
      <c r="E217" s="64">
        <v>0</v>
      </c>
      <c r="F217" s="71" t="s">
        <v>234</v>
      </c>
      <c r="G217" s="64"/>
      <c r="H217" s="21"/>
      <c r="I217" s="21"/>
      <c r="J217" s="21"/>
      <c r="K217" s="21"/>
      <c r="L217" s="21"/>
      <c r="M217" s="21"/>
      <c r="N217" s="21"/>
    </row>
    <row r="218" spans="1:14" ht="52.5" customHeight="1" x14ac:dyDescent="0.25">
      <c r="A218" s="151"/>
      <c r="B218" s="64"/>
      <c r="C218" s="64"/>
      <c r="D218" s="64"/>
      <c r="E218" s="64"/>
      <c r="F218" s="71" t="s">
        <v>156</v>
      </c>
      <c r="G218" s="64"/>
      <c r="H218" s="21"/>
      <c r="I218" s="21"/>
      <c r="J218" s="21"/>
      <c r="K218" s="21"/>
      <c r="L218" s="21"/>
      <c r="M218" s="21"/>
      <c r="N218" s="21"/>
    </row>
    <row r="219" spans="1:14" ht="27" x14ac:dyDescent="0.25">
      <c r="A219" s="151"/>
      <c r="B219" s="64">
        <v>2411</v>
      </c>
      <c r="C219" s="64" t="s">
        <v>9</v>
      </c>
      <c r="D219" s="64">
        <v>1</v>
      </c>
      <c r="E219" s="64">
        <v>1</v>
      </c>
      <c r="F219" s="71" t="s">
        <v>235</v>
      </c>
      <c r="G219" s="64"/>
      <c r="H219" s="21"/>
      <c r="I219" s="21"/>
      <c r="J219" s="21"/>
      <c r="K219" s="21"/>
      <c r="L219" s="21"/>
      <c r="M219" s="21"/>
      <c r="N219" s="21"/>
    </row>
    <row r="220" spans="1:14" ht="40.5" x14ac:dyDescent="0.25">
      <c r="A220" s="151"/>
      <c r="B220" s="64"/>
      <c r="C220" s="64"/>
      <c r="D220" s="64"/>
      <c r="E220" s="64"/>
      <c r="F220" s="71" t="s">
        <v>177</v>
      </c>
      <c r="G220" s="64"/>
      <c r="H220" s="21"/>
      <c r="I220" s="21"/>
      <c r="J220" s="21"/>
      <c r="K220" s="21"/>
      <c r="L220" s="21"/>
      <c r="M220" s="21"/>
      <c r="N220" s="21"/>
    </row>
    <row r="221" spans="1:14" ht="38.25" customHeight="1" x14ac:dyDescent="0.25">
      <c r="A221" s="151"/>
      <c r="B221" s="64"/>
      <c r="C221" s="64"/>
      <c r="D221" s="64"/>
      <c r="E221" s="64"/>
      <c r="F221" s="71" t="s">
        <v>178</v>
      </c>
      <c r="G221" s="64"/>
      <c r="H221" s="21"/>
      <c r="I221" s="21"/>
      <c r="J221" s="21"/>
      <c r="K221" s="21"/>
      <c r="L221" s="21"/>
      <c r="M221" s="21"/>
      <c r="N221" s="21"/>
    </row>
    <row r="222" spans="1:14" ht="54" customHeight="1" x14ac:dyDescent="0.25">
      <c r="A222" s="151"/>
      <c r="B222" s="64"/>
      <c r="C222" s="64"/>
      <c r="D222" s="64"/>
      <c r="E222" s="64"/>
      <c r="F222" s="71" t="s">
        <v>178</v>
      </c>
      <c r="G222" s="64"/>
      <c r="H222" s="21"/>
      <c r="I222" s="21"/>
      <c r="J222" s="21"/>
      <c r="K222" s="21"/>
      <c r="L222" s="21"/>
      <c r="M222" s="21"/>
      <c r="N222" s="21"/>
    </row>
    <row r="223" spans="1:14" ht="27" x14ac:dyDescent="0.25">
      <c r="A223" s="151"/>
      <c r="B223" s="64">
        <v>2412</v>
      </c>
      <c r="C223" s="64" t="s">
        <v>9</v>
      </c>
      <c r="D223" s="64">
        <v>1</v>
      </c>
      <c r="E223" s="64">
        <v>2</v>
      </c>
      <c r="F223" s="71" t="s">
        <v>236</v>
      </c>
      <c r="G223" s="64"/>
      <c r="H223" s="21"/>
      <c r="I223" s="21"/>
      <c r="J223" s="21"/>
      <c r="K223" s="21"/>
      <c r="L223" s="21"/>
      <c r="M223" s="21"/>
      <c r="N223" s="21"/>
    </row>
    <row r="224" spans="1:14" ht="40.5" x14ac:dyDescent="0.25">
      <c r="A224" s="151"/>
      <c r="B224" s="64"/>
      <c r="C224" s="64"/>
      <c r="D224" s="64"/>
      <c r="E224" s="64"/>
      <c r="F224" s="71" t="s">
        <v>177</v>
      </c>
      <c r="G224" s="64"/>
      <c r="H224" s="21"/>
      <c r="I224" s="21"/>
      <c r="J224" s="21"/>
      <c r="K224" s="21"/>
      <c r="L224" s="21"/>
      <c r="M224" s="21"/>
      <c r="N224" s="21"/>
    </row>
    <row r="225" spans="1:14" ht="38.25" customHeight="1" x14ac:dyDescent="0.25">
      <c r="A225" s="151"/>
      <c r="B225" s="64"/>
      <c r="C225" s="64"/>
      <c r="D225" s="64"/>
      <c r="E225" s="64"/>
      <c r="F225" s="71" t="s">
        <v>178</v>
      </c>
      <c r="G225" s="64"/>
      <c r="H225" s="21"/>
      <c r="I225" s="21"/>
      <c r="J225" s="21"/>
      <c r="K225" s="21"/>
      <c r="L225" s="21"/>
      <c r="M225" s="21"/>
      <c r="N225" s="21"/>
    </row>
    <row r="226" spans="1:14" x14ac:dyDescent="0.25">
      <c r="A226" s="151"/>
      <c r="B226" s="64"/>
      <c r="C226" s="64"/>
      <c r="D226" s="64"/>
      <c r="E226" s="64"/>
      <c r="F226" s="71" t="s">
        <v>178</v>
      </c>
      <c r="G226" s="64"/>
      <c r="H226" s="21"/>
      <c r="I226" s="21"/>
      <c r="J226" s="21"/>
      <c r="K226" s="21"/>
      <c r="L226" s="21"/>
      <c r="M226" s="21"/>
      <c r="N226" s="21"/>
    </row>
    <row r="227" spans="1:14" ht="19.5" customHeight="1" x14ac:dyDescent="0.25">
      <c r="A227" s="151"/>
      <c r="B227" s="64">
        <v>2420</v>
      </c>
      <c r="C227" s="64" t="s">
        <v>9</v>
      </c>
      <c r="D227" s="64">
        <v>2</v>
      </c>
      <c r="E227" s="64">
        <v>0</v>
      </c>
      <c r="F227" s="71" t="s">
        <v>237</v>
      </c>
      <c r="G227" s="64"/>
      <c r="H227" s="21"/>
      <c r="I227" s="21"/>
      <c r="J227" s="21"/>
      <c r="K227" s="21"/>
      <c r="L227" s="21"/>
      <c r="M227" s="21"/>
      <c r="N227" s="21"/>
    </row>
    <row r="228" spans="1:14" ht="51" customHeight="1" x14ac:dyDescent="0.25">
      <c r="A228" s="151"/>
      <c r="B228" s="64"/>
      <c r="C228" s="64"/>
      <c r="D228" s="64"/>
      <c r="E228" s="64"/>
      <c r="F228" s="71" t="s">
        <v>156</v>
      </c>
      <c r="G228" s="64"/>
      <c r="H228" s="21"/>
      <c r="I228" s="21"/>
      <c r="J228" s="21"/>
      <c r="K228" s="21"/>
      <c r="L228" s="21"/>
      <c r="M228" s="21"/>
      <c r="N228" s="21"/>
    </row>
    <row r="229" spans="1:14" x14ac:dyDescent="0.25">
      <c r="A229" s="151"/>
      <c r="B229" s="64">
        <v>2421</v>
      </c>
      <c r="C229" s="64" t="s">
        <v>9</v>
      </c>
      <c r="D229" s="64">
        <v>2</v>
      </c>
      <c r="E229" s="64">
        <v>1</v>
      </c>
      <c r="F229" s="71" t="s">
        <v>238</v>
      </c>
      <c r="G229" s="64"/>
      <c r="H229" s="21"/>
      <c r="I229" s="21"/>
      <c r="J229" s="21"/>
      <c r="K229" s="21"/>
      <c r="L229" s="21"/>
      <c r="M229" s="21"/>
      <c r="N229" s="21"/>
    </row>
    <row r="230" spans="1:14" ht="40.5" x14ac:dyDescent="0.25">
      <c r="A230" s="151"/>
      <c r="B230" s="64"/>
      <c r="C230" s="64"/>
      <c r="D230" s="64"/>
      <c r="E230" s="64"/>
      <c r="F230" s="71" t="s">
        <v>177</v>
      </c>
      <c r="G230" s="64"/>
      <c r="H230" s="21"/>
      <c r="I230" s="21"/>
      <c r="J230" s="21"/>
      <c r="K230" s="21"/>
      <c r="L230" s="21"/>
      <c r="M230" s="21"/>
      <c r="N230" s="21"/>
    </row>
    <row r="231" spans="1:14" x14ac:dyDescent="0.25">
      <c r="A231" s="151"/>
      <c r="B231" s="64"/>
      <c r="C231" s="64"/>
      <c r="D231" s="64"/>
      <c r="E231" s="64"/>
      <c r="F231" s="71"/>
      <c r="G231" s="64"/>
      <c r="H231" s="21"/>
      <c r="I231" s="21"/>
      <c r="J231" s="21"/>
      <c r="K231" s="21"/>
      <c r="L231" s="21"/>
      <c r="M231" s="21"/>
      <c r="N231" s="21"/>
    </row>
    <row r="232" spans="1:14" x14ac:dyDescent="0.25">
      <c r="A232" s="151"/>
      <c r="B232" s="64"/>
      <c r="C232" s="64"/>
      <c r="D232" s="64"/>
      <c r="E232" s="64"/>
      <c r="F232" s="71"/>
      <c r="G232" s="64"/>
      <c r="H232" s="21"/>
      <c r="I232" s="21"/>
      <c r="J232" s="21"/>
      <c r="K232" s="21"/>
      <c r="L232" s="21"/>
      <c r="M232" s="21"/>
      <c r="N232" s="21"/>
    </row>
    <row r="233" spans="1:14" x14ac:dyDescent="0.25">
      <c r="A233" s="151"/>
      <c r="B233" s="64"/>
      <c r="C233" s="64"/>
      <c r="D233" s="64"/>
      <c r="E233" s="64"/>
      <c r="F233" s="71" t="s">
        <v>178</v>
      </c>
      <c r="G233" s="64"/>
      <c r="H233" s="21"/>
      <c r="I233" s="21"/>
      <c r="J233" s="21"/>
      <c r="K233" s="21"/>
      <c r="L233" s="21"/>
      <c r="M233" s="21"/>
      <c r="N233" s="21"/>
    </row>
    <row r="234" spans="1:14" ht="52.5" customHeight="1" x14ac:dyDescent="0.25">
      <c r="A234" s="151"/>
      <c r="B234" s="64"/>
      <c r="C234" s="64"/>
      <c r="D234" s="64"/>
      <c r="E234" s="64"/>
      <c r="F234" s="71" t="s">
        <v>178</v>
      </c>
      <c r="G234" s="64"/>
      <c r="H234" s="21"/>
      <c r="I234" s="21"/>
      <c r="J234" s="21"/>
      <c r="K234" s="21"/>
      <c r="L234" s="21"/>
      <c r="M234" s="21"/>
      <c r="N234" s="21"/>
    </row>
    <row r="235" spans="1:14" x14ac:dyDescent="0.25">
      <c r="A235" s="151"/>
      <c r="B235" s="64">
        <v>2422</v>
      </c>
      <c r="C235" s="64" t="s">
        <v>9</v>
      </c>
      <c r="D235" s="64">
        <v>2</v>
      </c>
      <c r="E235" s="64">
        <v>2</v>
      </c>
      <c r="F235" s="71" t="s">
        <v>239</v>
      </c>
      <c r="G235" s="64"/>
      <c r="H235" s="21"/>
      <c r="I235" s="21"/>
      <c r="J235" s="21"/>
      <c r="K235" s="21"/>
      <c r="L235" s="21"/>
      <c r="M235" s="21"/>
      <c r="N235" s="21"/>
    </row>
    <row r="236" spans="1:14" ht="40.5" x14ac:dyDescent="0.25">
      <c r="A236" s="151"/>
      <c r="B236" s="64"/>
      <c r="C236" s="64"/>
      <c r="D236" s="64"/>
      <c r="E236" s="64"/>
      <c r="F236" s="71" t="s">
        <v>177</v>
      </c>
      <c r="G236" s="64"/>
      <c r="H236" s="21"/>
      <c r="I236" s="21"/>
      <c r="J236" s="21"/>
      <c r="K236" s="21"/>
      <c r="L236" s="21"/>
      <c r="M236" s="21"/>
      <c r="N236" s="21"/>
    </row>
    <row r="237" spans="1:14" ht="18.75" customHeight="1" x14ac:dyDescent="0.25">
      <c r="A237" s="151"/>
      <c r="B237" s="64"/>
      <c r="C237" s="64"/>
      <c r="D237" s="64"/>
      <c r="E237" s="64"/>
      <c r="F237" s="71" t="s">
        <v>178</v>
      </c>
      <c r="G237" s="64"/>
      <c r="H237" s="21"/>
      <c r="I237" s="21"/>
      <c r="J237" s="21"/>
      <c r="K237" s="21"/>
      <c r="L237" s="21"/>
      <c r="M237" s="21"/>
      <c r="N237" s="21"/>
    </row>
    <row r="238" spans="1:14" ht="49.5" customHeight="1" x14ac:dyDescent="0.25">
      <c r="A238" s="151"/>
      <c r="B238" s="64"/>
      <c r="C238" s="64"/>
      <c r="D238" s="64"/>
      <c r="E238" s="64"/>
      <c r="F238" s="71" t="s">
        <v>178</v>
      </c>
      <c r="G238" s="64"/>
      <c r="H238" s="21"/>
      <c r="I238" s="21"/>
      <c r="J238" s="21"/>
      <c r="K238" s="21"/>
      <c r="L238" s="21"/>
      <c r="M238" s="21"/>
      <c r="N238" s="21"/>
    </row>
    <row r="239" spans="1:14" x14ac:dyDescent="0.25">
      <c r="A239" s="151"/>
      <c r="B239" s="64">
        <v>2423</v>
      </c>
      <c r="C239" s="64" t="s">
        <v>9</v>
      </c>
      <c r="D239" s="64">
        <v>2</v>
      </c>
      <c r="E239" s="64">
        <v>3</v>
      </c>
      <c r="F239" s="71" t="s">
        <v>240</v>
      </c>
      <c r="G239" s="64"/>
      <c r="H239" s="21"/>
      <c r="I239" s="21"/>
      <c r="J239" s="21"/>
      <c r="K239" s="21"/>
      <c r="L239" s="21"/>
      <c r="M239" s="21"/>
      <c r="N239" s="21"/>
    </row>
    <row r="240" spans="1:14" ht="40.5" x14ac:dyDescent="0.25">
      <c r="A240" s="151"/>
      <c r="B240" s="64"/>
      <c r="C240" s="64"/>
      <c r="D240" s="64"/>
      <c r="E240" s="64"/>
      <c r="F240" s="71" t="s">
        <v>177</v>
      </c>
      <c r="G240" s="64"/>
      <c r="H240" s="21"/>
      <c r="I240" s="21"/>
      <c r="J240" s="21"/>
      <c r="K240" s="21"/>
      <c r="L240" s="21"/>
      <c r="M240" s="21"/>
      <c r="N240" s="21"/>
    </row>
    <row r="241" spans="1:14" x14ac:dyDescent="0.25">
      <c r="A241" s="151"/>
      <c r="B241" s="64"/>
      <c r="C241" s="64"/>
      <c r="D241" s="64"/>
      <c r="E241" s="64"/>
      <c r="F241" s="71" t="s">
        <v>178</v>
      </c>
      <c r="G241" s="64"/>
      <c r="H241" s="21"/>
      <c r="I241" s="21"/>
      <c r="J241" s="21"/>
      <c r="K241" s="21"/>
      <c r="L241" s="21"/>
      <c r="M241" s="21"/>
      <c r="N241" s="21"/>
    </row>
    <row r="242" spans="1:14" ht="57" customHeight="1" x14ac:dyDescent="0.25">
      <c r="A242" s="151"/>
      <c r="B242" s="64"/>
      <c r="C242" s="64"/>
      <c r="D242" s="64"/>
      <c r="E242" s="64"/>
      <c r="F242" s="71" t="s">
        <v>178</v>
      </c>
      <c r="G242" s="64"/>
      <c r="H242" s="21"/>
      <c r="I242" s="21"/>
      <c r="J242" s="21"/>
      <c r="K242" s="21"/>
      <c r="L242" s="21"/>
      <c r="M242" s="21"/>
      <c r="N242" s="21"/>
    </row>
    <row r="243" spans="1:14" x14ac:dyDescent="0.25">
      <c r="A243" s="151"/>
      <c r="B243" s="64">
        <v>2424</v>
      </c>
      <c r="C243" s="64" t="s">
        <v>9</v>
      </c>
      <c r="D243" s="64">
        <v>2</v>
      </c>
      <c r="E243" s="64">
        <v>4</v>
      </c>
      <c r="F243" s="71" t="s">
        <v>241</v>
      </c>
      <c r="G243" s="64"/>
      <c r="H243" s="21"/>
      <c r="I243" s="21"/>
      <c r="J243" s="21"/>
      <c r="K243" s="21"/>
      <c r="L243" s="21"/>
      <c r="M243" s="21"/>
      <c r="N243" s="21"/>
    </row>
    <row r="244" spans="1:14" ht="40.5" x14ac:dyDescent="0.25">
      <c r="A244" s="151"/>
      <c r="B244" s="64"/>
      <c r="C244" s="64"/>
      <c r="D244" s="64"/>
      <c r="E244" s="64"/>
      <c r="F244" s="71" t="s">
        <v>177</v>
      </c>
      <c r="G244" s="64"/>
      <c r="H244" s="21"/>
      <c r="I244" s="21"/>
      <c r="J244" s="21"/>
      <c r="K244" s="21"/>
      <c r="L244" s="21"/>
      <c r="M244" s="21"/>
      <c r="N244" s="21"/>
    </row>
    <row r="245" spans="1:14" x14ac:dyDescent="0.25">
      <c r="A245" s="151"/>
      <c r="B245" s="64"/>
      <c r="C245" s="64"/>
      <c r="D245" s="64"/>
      <c r="E245" s="64"/>
      <c r="F245" s="71" t="s">
        <v>178</v>
      </c>
      <c r="G245" s="64"/>
      <c r="H245" s="21"/>
      <c r="I245" s="21"/>
      <c r="J245" s="21"/>
      <c r="K245" s="21"/>
      <c r="L245" s="21"/>
      <c r="M245" s="21"/>
      <c r="N245" s="21"/>
    </row>
    <row r="246" spans="1:14" x14ac:dyDescent="0.25">
      <c r="A246" s="151"/>
      <c r="B246" s="64"/>
      <c r="C246" s="64"/>
      <c r="D246" s="64"/>
      <c r="E246" s="64"/>
      <c r="F246" s="71" t="s">
        <v>178</v>
      </c>
      <c r="G246" s="64"/>
      <c r="H246" s="21"/>
      <c r="I246" s="21"/>
      <c r="J246" s="21"/>
      <c r="K246" s="21"/>
      <c r="L246" s="21"/>
      <c r="M246" s="21"/>
      <c r="N246" s="21"/>
    </row>
    <row r="247" spans="1:14" x14ac:dyDescent="0.25">
      <c r="A247" s="151"/>
      <c r="B247" s="64">
        <v>2430</v>
      </c>
      <c r="C247" s="64" t="s">
        <v>9</v>
      </c>
      <c r="D247" s="64">
        <v>3</v>
      </c>
      <c r="E247" s="64">
        <v>0</v>
      </c>
      <c r="F247" s="71" t="s">
        <v>242</v>
      </c>
      <c r="G247" s="64"/>
      <c r="H247" s="21"/>
      <c r="I247" s="21"/>
      <c r="J247" s="21"/>
      <c r="K247" s="21"/>
      <c r="L247" s="21"/>
      <c r="M247" s="21"/>
      <c r="N247" s="21"/>
    </row>
    <row r="248" spans="1:14" ht="48" customHeight="1" x14ac:dyDescent="0.25">
      <c r="A248" s="151"/>
      <c r="B248" s="64"/>
      <c r="C248" s="64"/>
      <c r="D248" s="64"/>
      <c r="E248" s="64"/>
      <c r="F248" s="71" t="s">
        <v>156</v>
      </c>
      <c r="G248" s="64"/>
      <c r="H248" s="21"/>
      <c r="I248" s="21"/>
      <c r="J248" s="21"/>
      <c r="K248" s="21"/>
      <c r="L248" s="21"/>
      <c r="M248" s="21"/>
      <c r="N248" s="21"/>
    </row>
    <row r="249" spans="1:14" x14ac:dyDescent="0.25">
      <c r="A249" s="151"/>
      <c r="B249" s="64">
        <v>2431</v>
      </c>
      <c r="C249" s="64" t="s">
        <v>9</v>
      </c>
      <c r="D249" s="64">
        <v>3</v>
      </c>
      <c r="E249" s="64">
        <v>1</v>
      </c>
      <c r="F249" s="71" t="s">
        <v>243</v>
      </c>
      <c r="G249" s="64"/>
      <c r="H249" s="21"/>
      <c r="I249" s="21"/>
      <c r="J249" s="21"/>
      <c r="K249" s="21"/>
      <c r="L249" s="21"/>
      <c r="M249" s="21"/>
      <c r="N249" s="21"/>
    </row>
    <row r="250" spans="1:14" ht="40.5" x14ac:dyDescent="0.25">
      <c r="A250" s="151"/>
      <c r="B250" s="64"/>
      <c r="C250" s="64"/>
      <c r="D250" s="64"/>
      <c r="E250" s="64"/>
      <c r="F250" s="71" t="s">
        <v>177</v>
      </c>
      <c r="G250" s="64"/>
      <c r="H250" s="21"/>
      <c r="I250" s="21"/>
      <c r="J250" s="21"/>
      <c r="K250" s="21"/>
      <c r="L250" s="21"/>
      <c r="M250" s="21"/>
      <c r="N250" s="21"/>
    </row>
    <row r="251" spans="1:14" x14ac:dyDescent="0.25">
      <c r="A251" s="151"/>
      <c r="B251" s="64"/>
      <c r="C251" s="64"/>
      <c r="D251" s="64"/>
      <c r="E251" s="64"/>
      <c r="F251" s="71" t="s">
        <v>178</v>
      </c>
      <c r="G251" s="64"/>
      <c r="H251" s="21"/>
      <c r="I251" s="21"/>
      <c r="J251" s="21"/>
      <c r="K251" s="21"/>
      <c r="L251" s="21"/>
      <c r="M251" s="21"/>
      <c r="N251" s="21"/>
    </row>
    <row r="252" spans="1:14" ht="54.75" customHeight="1" x14ac:dyDescent="0.25">
      <c r="A252" s="151"/>
      <c r="B252" s="64"/>
      <c r="C252" s="64"/>
      <c r="D252" s="64"/>
      <c r="E252" s="64"/>
      <c r="F252" s="71" t="s">
        <v>178</v>
      </c>
      <c r="G252" s="64"/>
      <c r="H252" s="21"/>
      <c r="I252" s="21"/>
      <c r="J252" s="21"/>
      <c r="K252" s="21"/>
      <c r="L252" s="21"/>
      <c r="M252" s="21"/>
      <c r="N252" s="21"/>
    </row>
    <row r="253" spans="1:14" x14ac:dyDescent="0.25">
      <c r="A253" s="151"/>
      <c r="B253" s="64">
        <v>2432</v>
      </c>
      <c r="C253" s="64" t="s">
        <v>9</v>
      </c>
      <c r="D253" s="64">
        <v>3</v>
      </c>
      <c r="E253" s="64">
        <v>2</v>
      </c>
      <c r="F253" s="71" t="s">
        <v>244</v>
      </c>
      <c r="G253" s="64"/>
      <c r="H253" s="21"/>
      <c r="I253" s="21"/>
      <c r="J253" s="21"/>
      <c r="K253" s="21"/>
      <c r="L253" s="21"/>
      <c r="M253" s="21"/>
      <c r="N253" s="21"/>
    </row>
    <row r="254" spans="1:14" ht="40.5" x14ac:dyDescent="0.25">
      <c r="A254" s="151"/>
      <c r="B254" s="64"/>
      <c r="C254" s="64"/>
      <c r="D254" s="64"/>
      <c r="E254" s="64"/>
      <c r="F254" s="71" t="s">
        <v>177</v>
      </c>
      <c r="G254" s="64"/>
      <c r="H254" s="21"/>
      <c r="I254" s="21"/>
      <c r="J254" s="21"/>
      <c r="K254" s="21"/>
      <c r="L254" s="21"/>
      <c r="M254" s="21"/>
      <c r="N254" s="21"/>
    </row>
    <row r="255" spans="1:14" x14ac:dyDescent="0.25">
      <c r="A255" s="151"/>
      <c r="B255" s="64"/>
      <c r="C255" s="64"/>
      <c r="D255" s="64"/>
      <c r="E255" s="64"/>
      <c r="F255" s="71" t="s">
        <v>178</v>
      </c>
      <c r="G255" s="64"/>
      <c r="H255" s="21"/>
      <c r="I255" s="21"/>
      <c r="J255" s="21"/>
      <c r="K255" s="21"/>
      <c r="L255" s="21"/>
      <c r="M255" s="21"/>
      <c r="N255" s="21"/>
    </row>
    <row r="256" spans="1:14" ht="54" customHeight="1" x14ac:dyDescent="0.25">
      <c r="A256" s="151"/>
      <c r="B256" s="64"/>
      <c r="C256" s="64"/>
      <c r="D256" s="64"/>
      <c r="E256" s="64"/>
      <c r="F256" s="71" t="s">
        <v>178</v>
      </c>
      <c r="G256" s="64"/>
      <c r="H256" s="21"/>
      <c r="I256" s="21"/>
      <c r="J256" s="21"/>
      <c r="K256" s="21"/>
      <c r="L256" s="21"/>
      <c r="M256" s="21"/>
      <c r="N256" s="21"/>
    </row>
    <row r="257" spans="1:14" x14ac:dyDescent="0.25">
      <c r="A257" s="151"/>
      <c r="B257" s="64">
        <v>2433</v>
      </c>
      <c r="C257" s="64" t="s">
        <v>9</v>
      </c>
      <c r="D257" s="64">
        <v>3</v>
      </c>
      <c r="E257" s="64">
        <v>3</v>
      </c>
      <c r="F257" s="71" t="s">
        <v>245</v>
      </c>
      <c r="G257" s="64"/>
      <c r="H257" s="21"/>
      <c r="I257" s="21"/>
      <c r="J257" s="21"/>
      <c r="K257" s="21"/>
      <c r="L257" s="21"/>
      <c r="M257" s="21"/>
      <c r="N257" s="21"/>
    </row>
    <row r="258" spans="1:14" ht="40.5" x14ac:dyDescent="0.25">
      <c r="A258" s="151"/>
      <c r="B258" s="64"/>
      <c r="C258" s="64"/>
      <c r="D258" s="64"/>
      <c r="E258" s="64"/>
      <c r="F258" s="71" t="s">
        <v>177</v>
      </c>
      <c r="G258" s="64"/>
      <c r="H258" s="21"/>
      <c r="I258" s="21"/>
      <c r="J258" s="21"/>
      <c r="K258" s="21"/>
      <c r="L258" s="21"/>
      <c r="M258" s="21"/>
      <c r="N258" s="21"/>
    </row>
    <row r="259" spans="1:14" ht="36" customHeight="1" x14ac:dyDescent="0.25">
      <c r="A259" s="151"/>
      <c r="B259" s="64"/>
      <c r="C259" s="64"/>
      <c r="D259" s="64"/>
      <c r="E259" s="64"/>
      <c r="F259" s="71" t="s">
        <v>178</v>
      </c>
      <c r="G259" s="64"/>
      <c r="H259" s="21"/>
      <c r="I259" s="21"/>
      <c r="J259" s="21"/>
      <c r="K259" s="21"/>
      <c r="L259" s="21"/>
      <c r="M259" s="21"/>
      <c r="N259" s="21"/>
    </row>
    <row r="260" spans="1:14" x14ac:dyDescent="0.25">
      <c r="A260" s="151"/>
      <c r="B260" s="64"/>
      <c r="C260" s="64"/>
      <c r="D260" s="64"/>
      <c r="E260" s="64"/>
      <c r="F260" s="71" t="s">
        <v>178</v>
      </c>
      <c r="G260" s="64"/>
      <c r="H260" s="21"/>
      <c r="I260" s="21"/>
      <c r="J260" s="21"/>
      <c r="K260" s="21"/>
      <c r="L260" s="21"/>
      <c r="M260" s="21"/>
      <c r="N260" s="21"/>
    </row>
    <row r="261" spans="1:14" ht="36.75" customHeight="1" x14ac:dyDescent="0.25">
      <c r="A261" s="151"/>
      <c r="B261" s="64">
        <v>2440</v>
      </c>
      <c r="C261" s="64" t="s">
        <v>9</v>
      </c>
      <c r="D261" s="64">
        <v>4</v>
      </c>
      <c r="E261" s="64">
        <v>0</v>
      </c>
      <c r="F261" s="71" t="s">
        <v>249</v>
      </c>
      <c r="G261" s="64"/>
      <c r="H261" s="21"/>
      <c r="I261" s="21"/>
      <c r="J261" s="21"/>
      <c r="K261" s="21"/>
      <c r="L261" s="21"/>
      <c r="M261" s="21"/>
      <c r="N261" s="21"/>
    </row>
    <row r="262" spans="1:14" ht="51.75" customHeight="1" x14ac:dyDescent="0.25">
      <c r="A262" s="151"/>
      <c r="B262" s="64"/>
      <c r="C262" s="64"/>
      <c r="D262" s="64"/>
      <c r="E262" s="64"/>
      <c r="F262" s="71" t="s">
        <v>156</v>
      </c>
      <c r="G262" s="64"/>
      <c r="H262" s="21"/>
      <c r="I262" s="21"/>
      <c r="J262" s="21"/>
      <c r="K262" s="21"/>
      <c r="L262" s="21"/>
      <c r="M262" s="21"/>
      <c r="N262" s="21"/>
    </row>
    <row r="263" spans="1:14" ht="27" x14ac:dyDescent="0.25">
      <c r="A263" s="151"/>
      <c r="B263" s="64">
        <v>2441</v>
      </c>
      <c r="C263" s="64" t="s">
        <v>9</v>
      </c>
      <c r="D263" s="64">
        <v>4</v>
      </c>
      <c r="E263" s="64">
        <v>1</v>
      </c>
      <c r="F263" s="71" t="s">
        <v>250</v>
      </c>
      <c r="G263" s="64"/>
      <c r="H263" s="21"/>
      <c r="I263" s="21"/>
      <c r="J263" s="21"/>
      <c r="K263" s="21"/>
      <c r="L263" s="21"/>
      <c r="M263" s="21"/>
      <c r="N263" s="21"/>
    </row>
    <row r="264" spans="1:14" ht="40.5" x14ac:dyDescent="0.25">
      <c r="A264" s="151"/>
      <c r="B264" s="64"/>
      <c r="C264" s="64"/>
      <c r="D264" s="64"/>
      <c r="E264" s="64"/>
      <c r="F264" s="71" t="s">
        <v>177</v>
      </c>
      <c r="G264" s="64"/>
      <c r="H264" s="21"/>
      <c r="I264" s="21"/>
      <c r="J264" s="21"/>
      <c r="K264" s="21"/>
      <c r="L264" s="21"/>
      <c r="M264" s="21"/>
      <c r="N264" s="21"/>
    </row>
    <row r="265" spans="1:14" x14ac:dyDescent="0.25">
      <c r="A265" s="151"/>
      <c r="B265" s="64"/>
      <c r="C265" s="64"/>
      <c r="D265" s="64"/>
      <c r="E265" s="64"/>
      <c r="F265" s="71" t="s">
        <v>178</v>
      </c>
      <c r="G265" s="64"/>
      <c r="H265" s="21"/>
      <c r="I265" s="21"/>
      <c r="J265" s="21"/>
      <c r="K265" s="21"/>
      <c r="L265" s="21"/>
      <c r="M265" s="21"/>
      <c r="N265" s="21"/>
    </row>
    <row r="266" spans="1:14" ht="54" customHeight="1" x14ac:dyDescent="0.25">
      <c r="A266" s="151"/>
      <c r="B266" s="64"/>
      <c r="C266" s="64"/>
      <c r="D266" s="64"/>
      <c r="E266" s="64"/>
      <c r="F266" s="71" t="s">
        <v>178</v>
      </c>
      <c r="G266" s="64"/>
      <c r="H266" s="21"/>
      <c r="I266" s="21"/>
      <c r="J266" s="21"/>
      <c r="K266" s="21"/>
      <c r="L266" s="21"/>
      <c r="M266" s="21"/>
      <c r="N266" s="21"/>
    </row>
    <row r="267" spans="1:14" x14ac:dyDescent="0.25">
      <c r="A267" s="151"/>
      <c r="B267" s="64">
        <v>2442</v>
      </c>
      <c r="C267" s="64" t="s">
        <v>9</v>
      </c>
      <c r="D267" s="64">
        <v>4</v>
      </c>
      <c r="E267" s="64">
        <v>2</v>
      </c>
      <c r="F267" s="71" t="s">
        <v>251</v>
      </c>
      <c r="G267" s="64"/>
      <c r="H267" s="21"/>
      <c r="I267" s="21"/>
      <c r="J267" s="21"/>
      <c r="K267" s="21"/>
      <c r="L267" s="21"/>
      <c r="M267" s="21"/>
      <c r="N267" s="21"/>
    </row>
    <row r="268" spans="1:14" ht="40.5" x14ac:dyDescent="0.25">
      <c r="A268" s="151"/>
      <c r="B268" s="64"/>
      <c r="C268" s="64"/>
      <c r="D268" s="64"/>
      <c r="E268" s="64"/>
      <c r="F268" s="71" t="s">
        <v>177</v>
      </c>
      <c r="G268" s="64"/>
      <c r="H268" s="21"/>
      <c r="I268" s="21"/>
      <c r="J268" s="21"/>
      <c r="K268" s="21"/>
      <c r="L268" s="21"/>
      <c r="M268" s="21"/>
      <c r="N268" s="21"/>
    </row>
    <row r="269" spans="1:14" x14ac:dyDescent="0.25">
      <c r="A269" s="151"/>
      <c r="B269" s="64"/>
      <c r="C269" s="64"/>
      <c r="D269" s="64"/>
      <c r="E269" s="64"/>
      <c r="F269" s="71" t="s">
        <v>178</v>
      </c>
      <c r="G269" s="64"/>
      <c r="H269" s="21"/>
      <c r="I269" s="21"/>
      <c r="J269" s="21"/>
      <c r="K269" s="21"/>
      <c r="L269" s="21"/>
      <c r="M269" s="21"/>
      <c r="N269" s="21"/>
    </row>
    <row r="270" spans="1:14" ht="54" customHeight="1" x14ac:dyDescent="0.25">
      <c r="A270" s="151"/>
      <c r="B270" s="64"/>
      <c r="C270" s="64"/>
      <c r="D270" s="64"/>
      <c r="E270" s="64"/>
      <c r="F270" s="71" t="s">
        <v>178</v>
      </c>
      <c r="G270" s="64"/>
      <c r="H270" s="21"/>
      <c r="I270" s="21"/>
      <c r="J270" s="21"/>
      <c r="K270" s="21"/>
      <c r="L270" s="21"/>
      <c r="M270" s="21"/>
      <c r="N270" s="21"/>
    </row>
    <row r="271" spans="1:14" x14ac:dyDescent="0.25">
      <c r="A271" s="151"/>
      <c r="B271" s="64">
        <v>2443</v>
      </c>
      <c r="C271" s="64" t="s">
        <v>9</v>
      </c>
      <c r="D271" s="64">
        <v>4</v>
      </c>
      <c r="E271" s="64">
        <v>3</v>
      </c>
      <c r="F271" s="71" t="s">
        <v>252</v>
      </c>
      <c r="G271" s="64"/>
      <c r="H271" s="21"/>
      <c r="I271" s="21"/>
      <c r="J271" s="21"/>
      <c r="K271" s="21"/>
      <c r="L271" s="21"/>
      <c r="M271" s="21"/>
      <c r="N271" s="21"/>
    </row>
    <row r="272" spans="1:14" ht="40.5" x14ac:dyDescent="0.25">
      <c r="A272" s="151"/>
      <c r="B272" s="64"/>
      <c r="C272" s="64"/>
      <c r="D272" s="64"/>
      <c r="E272" s="64"/>
      <c r="F272" s="71" t="s">
        <v>177</v>
      </c>
      <c r="G272" s="64"/>
      <c r="H272" s="21"/>
      <c r="I272" s="21"/>
      <c r="J272" s="21"/>
      <c r="K272" s="21"/>
      <c r="L272" s="21"/>
      <c r="M272" s="21"/>
      <c r="N272" s="21"/>
    </row>
    <row r="273" spans="1:21" x14ac:dyDescent="0.25">
      <c r="A273" s="151"/>
      <c r="B273" s="64"/>
      <c r="C273" s="64"/>
      <c r="D273" s="64"/>
      <c r="E273" s="64"/>
      <c r="F273" s="71" t="s">
        <v>178</v>
      </c>
      <c r="G273" s="64"/>
      <c r="H273" s="21"/>
      <c r="I273" s="21"/>
      <c r="J273" s="21"/>
      <c r="K273" s="21"/>
      <c r="L273" s="21"/>
      <c r="M273" s="21"/>
      <c r="N273" s="21"/>
    </row>
    <row r="274" spans="1:21" x14ac:dyDescent="0.25">
      <c r="A274" s="151"/>
      <c r="B274" s="64"/>
      <c r="C274" s="64"/>
      <c r="D274" s="64"/>
      <c r="E274" s="64"/>
      <c r="F274" s="71" t="s">
        <v>178</v>
      </c>
      <c r="G274" s="64"/>
      <c r="H274" s="21"/>
      <c r="I274" s="21"/>
      <c r="J274" s="21"/>
      <c r="K274" s="21"/>
      <c r="L274" s="21"/>
      <c r="M274" s="21"/>
      <c r="N274" s="21"/>
    </row>
    <row r="275" spans="1:21" x14ac:dyDescent="0.25">
      <c r="A275" s="151"/>
      <c r="B275" s="64">
        <v>2450</v>
      </c>
      <c r="C275" s="64" t="s">
        <v>9</v>
      </c>
      <c r="D275" s="64">
        <v>5</v>
      </c>
      <c r="E275" s="64">
        <v>0</v>
      </c>
      <c r="F275" s="71" t="s">
        <v>253</v>
      </c>
      <c r="G275" s="64"/>
      <c r="H275" s="21">
        <f t="shared" ref="H275:N275" si="39">H277+H286+H290+H298</f>
        <v>3522651.529000001</v>
      </c>
      <c r="I275" s="21">
        <f t="shared" si="39"/>
        <v>334477.2</v>
      </c>
      <c r="J275" s="21">
        <f t="shared" si="39"/>
        <v>3188174.3290000008</v>
      </c>
      <c r="K275" s="21">
        <f t="shared" si="39"/>
        <v>2473278.3922285722</v>
      </c>
      <c r="L275" s="21">
        <f t="shared" si="39"/>
        <v>2711500.6857797727</v>
      </c>
      <c r="M275" s="21">
        <f t="shared" si="39"/>
        <v>3151811.0178507618</v>
      </c>
      <c r="N275" s="21">
        <f t="shared" si="39"/>
        <v>3522651.529000001</v>
      </c>
    </row>
    <row r="276" spans="1:21" ht="51.75" customHeight="1" x14ac:dyDescent="0.25">
      <c r="A276" s="151"/>
      <c r="B276" s="64"/>
      <c r="C276" s="64"/>
      <c r="D276" s="64"/>
      <c r="E276" s="64"/>
      <c r="F276" s="71" t="s">
        <v>156</v>
      </c>
      <c r="G276" s="64"/>
      <c r="H276" s="21"/>
      <c r="I276" s="21"/>
      <c r="J276" s="21"/>
      <c r="K276" s="21"/>
      <c r="L276" s="21"/>
      <c r="M276" s="21"/>
      <c r="N276" s="21"/>
    </row>
    <row r="277" spans="1:21" x14ac:dyDescent="0.25">
      <c r="A277" s="151"/>
      <c r="B277" s="64">
        <v>2451</v>
      </c>
      <c r="C277" s="64" t="s">
        <v>9</v>
      </c>
      <c r="D277" s="64">
        <v>5</v>
      </c>
      <c r="E277" s="64">
        <v>1</v>
      </c>
      <c r="F277" s="71" t="s">
        <v>254</v>
      </c>
      <c r="G277" s="64"/>
      <c r="H277" s="21">
        <f>H279+H280+H281+H282+H283+H284</f>
        <v>3522651.529000001</v>
      </c>
      <c r="I277" s="21">
        <f t="shared" ref="I277:N277" si="40">I279+I280+I281+I282+I283+I284</f>
        <v>334477.2</v>
      </c>
      <c r="J277" s="21">
        <f t="shared" si="40"/>
        <v>3188174.3290000008</v>
      </c>
      <c r="K277" s="21">
        <f t="shared" si="40"/>
        <v>2473278.3922285722</v>
      </c>
      <c r="L277" s="21">
        <f t="shared" si="40"/>
        <v>2711500.6857797727</v>
      </c>
      <c r="M277" s="21">
        <f t="shared" si="40"/>
        <v>3151811.0178507618</v>
      </c>
      <c r="N277" s="21">
        <f t="shared" si="40"/>
        <v>3522651.529000001</v>
      </c>
    </row>
    <row r="278" spans="1:21" ht="40.5" x14ac:dyDescent="0.25">
      <c r="A278" s="151"/>
      <c r="B278" s="64"/>
      <c r="C278" s="64"/>
      <c r="D278" s="64"/>
      <c r="E278" s="64"/>
      <c r="F278" s="71" t="s">
        <v>177</v>
      </c>
      <c r="G278" s="64"/>
      <c r="H278" s="21"/>
      <c r="I278" s="21"/>
      <c r="J278" s="21"/>
      <c r="K278" s="21"/>
      <c r="L278" s="21"/>
      <c r="M278" s="21"/>
      <c r="N278" s="21"/>
    </row>
    <row r="279" spans="1:21" x14ac:dyDescent="0.25">
      <c r="A279" s="151"/>
      <c r="B279" s="64"/>
      <c r="C279" s="64"/>
      <c r="D279" s="64"/>
      <c r="E279" s="64"/>
      <c r="F279" s="71" t="s">
        <v>547</v>
      </c>
      <c r="G279" s="64">
        <v>4239</v>
      </c>
      <c r="H279" s="21">
        <f t="shared" ref="H279:H284" si="41">SUM(I279:J279)</f>
        <v>47477.2</v>
      </c>
      <c r="I279" s="21">
        <v>47477.2</v>
      </c>
      <c r="J279" s="21"/>
      <c r="K279" s="145">
        <v>9114.6285714285714</v>
      </c>
      <c r="L279" s="145">
        <v>13829.347619047621</v>
      </c>
      <c r="M279" s="145">
        <v>47477.2</v>
      </c>
      <c r="N279" s="145">
        <f t="shared" ref="N279:N284" si="42">+H279</f>
        <v>47477.2</v>
      </c>
    </row>
    <row r="280" spans="1:21" x14ac:dyDescent="0.25">
      <c r="A280" s="151"/>
      <c r="B280" s="64"/>
      <c r="C280" s="64"/>
      <c r="D280" s="64"/>
      <c r="E280" s="64"/>
      <c r="F280" s="71" t="s">
        <v>548</v>
      </c>
      <c r="G280" s="64">
        <v>4251</v>
      </c>
      <c r="H280" s="21">
        <f t="shared" si="41"/>
        <v>242000</v>
      </c>
      <c r="I280" s="21">
        <v>242000</v>
      </c>
      <c r="J280" s="21"/>
      <c r="K280" s="145">
        <v>47619.047619047618</v>
      </c>
      <c r="L280" s="145">
        <v>96031.746031746021</v>
      </c>
      <c r="M280" s="145">
        <v>242000</v>
      </c>
      <c r="N280" s="145">
        <f t="shared" si="42"/>
        <v>242000</v>
      </c>
    </row>
    <row r="281" spans="1:21" x14ac:dyDescent="0.25">
      <c r="A281" s="151"/>
      <c r="B281" s="64"/>
      <c r="C281" s="64"/>
      <c r="D281" s="64"/>
      <c r="E281" s="64"/>
      <c r="F281" s="71" t="s">
        <v>169</v>
      </c>
      <c r="G281" s="64">
        <v>4269</v>
      </c>
      <c r="H281" s="21">
        <f t="shared" si="41"/>
        <v>45000</v>
      </c>
      <c r="I281" s="21">
        <v>45000</v>
      </c>
      <c r="J281" s="21"/>
      <c r="K281" s="145">
        <v>19047.61904761905</v>
      </c>
      <c r="L281" s="145">
        <v>38412.698412698417</v>
      </c>
      <c r="M281" s="145">
        <v>45000</v>
      </c>
      <c r="N281" s="145">
        <f t="shared" si="42"/>
        <v>45000</v>
      </c>
      <c r="P281" s="151"/>
      <c r="Q281" s="151"/>
      <c r="R281" s="151"/>
      <c r="S281" s="151"/>
      <c r="T281" s="151"/>
      <c r="U281" s="151"/>
    </row>
    <row r="282" spans="1:21" x14ac:dyDescent="0.25">
      <c r="A282" s="151"/>
      <c r="B282" s="64"/>
      <c r="C282" s="64"/>
      <c r="D282" s="64"/>
      <c r="E282" s="64"/>
      <c r="F282" s="71" t="s">
        <v>593</v>
      </c>
      <c r="G282" s="64">
        <v>5113</v>
      </c>
      <c r="H282" s="21">
        <f t="shared" si="41"/>
        <v>2863276.7290000007</v>
      </c>
      <c r="I282" s="21"/>
      <c r="J282" s="21">
        <v>2863276.7290000007</v>
      </c>
      <c r="K282" s="145">
        <v>2339408.2398476196</v>
      </c>
      <c r="L282" s="145">
        <v>2446361.1234781854</v>
      </c>
      <c r="M282" s="145">
        <v>2576438.2019777456</v>
      </c>
      <c r="N282" s="145">
        <f t="shared" si="42"/>
        <v>2863276.7290000007</v>
      </c>
    </row>
    <row r="283" spans="1:21" x14ac:dyDescent="0.25">
      <c r="A283" s="151"/>
      <c r="B283" s="64"/>
      <c r="C283" s="64"/>
      <c r="D283" s="64"/>
      <c r="E283" s="64"/>
      <c r="F283" s="73" t="s">
        <v>174</v>
      </c>
      <c r="G283" s="64" t="s">
        <v>93</v>
      </c>
      <c r="H283" s="21">
        <f t="shared" si="41"/>
        <v>222100</v>
      </c>
      <c r="I283" s="21"/>
      <c r="J283" s="21">
        <f>49500+134100+2500+21000+15000</f>
        <v>222100</v>
      </c>
      <c r="K283" s="145">
        <v>44309.523809523809</v>
      </c>
      <c r="L283" s="145">
        <v>89357.539682539689</v>
      </c>
      <c r="M283" s="145">
        <v>138098.01587301589</v>
      </c>
      <c r="N283" s="145">
        <f t="shared" si="42"/>
        <v>222100</v>
      </c>
    </row>
    <row r="284" spans="1:21" x14ac:dyDescent="0.25">
      <c r="A284" s="151"/>
      <c r="B284" s="64"/>
      <c r="C284" s="64"/>
      <c r="D284" s="64"/>
      <c r="E284" s="64"/>
      <c r="F284" s="71" t="s">
        <v>755</v>
      </c>
      <c r="G284" s="64" t="s">
        <v>99</v>
      </c>
      <c r="H284" s="21">
        <f t="shared" si="41"/>
        <v>102797.6</v>
      </c>
      <c r="I284" s="21"/>
      <c r="J284" s="21">
        <f>12400+9840.6+25000+9200+275.5+25381.5+700+20000</f>
        <v>102797.6</v>
      </c>
      <c r="K284" s="145">
        <v>13779.333333333334</v>
      </c>
      <c r="L284" s="145">
        <v>27508.230555555558</v>
      </c>
      <c r="M284" s="145">
        <v>102797.6</v>
      </c>
      <c r="N284" s="145">
        <f t="shared" si="42"/>
        <v>102797.6</v>
      </c>
    </row>
    <row r="285" spans="1:21" x14ac:dyDescent="0.25">
      <c r="A285" s="151"/>
      <c r="B285" s="64"/>
      <c r="C285" s="64"/>
      <c r="D285" s="64"/>
      <c r="E285" s="64"/>
      <c r="F285" s="71" t="s">
        <v>178</v>
      </c>
      <c r="G285" s="64"/>
      <c r="H285" s="21"/>
      <c r="I285" s="21"/>
      <c r="J285" s="21"/>
      <c r="K285" s="21"/>
      <c r="L285" s="21"/>
      <c r="M285" s="21"/>
      <c r="N285" s="21"/>
    </row>
    <row r="286" spans="1:21" x14ac:dyDescent="0.25">
      <c r="A286" s="151"/>
      <c r="B286" s="64">
        <v>2452</v>
      </c>
      <c r="C286" s="64" t="s">
        <v>9</v>
      </c>
      <c r="D286" s="64">
        <v>5</v>
      </c>
      <c r="E286" s="64">
        <v>2</v>
      </c>
      <c r="F286" s="71" t="s">
        <v>255</v>
      </c>
      <c r="G286" s="64"/>
      <c r="H286" s="21"/>
      <c r="I286" s="21"/>
      <c r="J286" s="21"/>
      <c r="K286" s="21"/>
      <c r="L286" s="21"/>
      <c r="M286" s="21"/>
      <c r="N286" s="21"/>
    </row>
    <row r="287" spans="1:21" ht="40.5" x14ac:dyDescent="0.25">
      <c r="A287" s="151"/>
      <c r="B287" s="64"/>
      <c r="C287" s="64"/>
      <c r="D287" s="64"/>
      <c r="E287" s="64"/>
      <c r="F287" s="71" t="s">
        <v>177</v>
      </c>
      <c r="G287" s="64"/>
      <c r="H287" s="21"/>
      <c r="I287" s="21"/>
      <c r="J287" s="21"/>
      <c r="K287" s="21"/>
      <c r="L287" s="21"/>
      <c r="M287" s="21"/>
      <c r="N287" s="21"/>
    </row>
    <row r="288" spans="1:21" x14ac:dyDescent="0.25">
      <c r="A288" s="151"/>
      <c r="B288" s="64"/>
      <c r="C288" s="64"/>
      <c r="D288" s="64"/>
      <c r="E288" s="64"/>
      <c r="F288" s="71" t="s">
        <v>178</v>
      </c>
      <c r="G288" s="64"/>
      <c r="H288" s="21"/>
      <c r="I288" s="21"/>
      <c r="J288" s="21"/>
      <c r="K288" s="21"/>
      <c r="L288" s="21"/>
      <c r="M288" s="21"/>
      <c r="N288" s="21"/>
    </row>
    <row r="289" spans="1:14" ht="53.25" customHeight="1" x14ac:dyDescent="0.25">
      <c r="A289" s="151"/>
      <c r="B289" s="64"/>
      <c r="C289" s="64"/>
      <c r="D289" s="64"/>
      <c r="E289" s="64"/>
      <c r="F289" s="71" t="s">
        <v>178</v>
      </c>
      <c r="G289" s="64"/>
      <c r="H289" s="21"/>
      <c r="I289" s="21"/>
      <c r="J289" s="21"/>
      <c r="K289" s="21"/>
      <c r="L289" s="21"/>
      <c r="M289" s="21"/>
      <c r="N289" s="21"/>
    </row>
    <row r="290" spans="1:14" x14ac:dyDescent="0.25">
      <c r="A290" s="151"/>
      <c r="B290" s="64">
        <v>2453</v>
      </c>
      <c r="C290" s="64" t="s">
        <v>9</v>
      </c>
      <c r="D290" s="64">
        <v>5</v>
      </c>
      <c r="E290" s="64">
        <v>3</v>
      </c>
      <c r="F290" s="71" t="s">
        <v>256</v>
      </c>
      <c r="G290" s="64"/>
      <c r="H290" s="21"/>
      <c r="I290" s="21"/>
      <c r="J290" s="21"/>
      <c r="K290" s="21"/>
      <c r="L290" s="21"/>
      <c r="M290" s="21"/>
      <c r="N290" s="21"/>
    </row>
    <row r="291" spans="1:14" ht="40.5" x14ac:dyDescent="0.25">
      <c r="A291" s="151"/>
      <c r="B291" s="64"/>
      <c r="C291" s="64"/>
      <c r="D291" s="64"/>
      <c r="E291" s="64"/>
      <c r="F291" s="71" t="s">
        <v>177</v>
      </c>
      <c r="G291" s="64"/>
      <c r="H291" s="21"/>
      <c r="I291" s="21"/>
      <c r="J291" s="21"/>
      <c r="K291" s="21"/>
      <c r="L291" s="21"/>
      <c r="M291" s="21"/>
      <c r="N291" s="21"/>
    </row>
    <row r="292" spans="1:14" x14ac:dyDescent="0.25">
      <c r="A292" s="151"/>
      <c r="B292" s="64"/>
      <c r="C292" s="64"/>
      <c r="D292" s="64"/>
      <c r="E292" s="64"/>
      <c r="F292" s="71" t="s">
        <v>178</v>
      </c>
      <c r="G292" s="64"/>
      <c r="H292" s="21"/>
      <c r="I292" s="21"/>
      <c r="J292" s="21"/>
      <c r="K292" s="21"/>
      <c r="L292" s="21"/>
      <c r="M292" s="21"/>
      <c r="N292" s="21"/>
    </row>
    <row r="293" spans="1:14" ht="52.5" customHeight="1" x14ac:dyDescent="0.25">
      <c r="A293" s="151"/>
      <c r="B293" s="64"/>
      <c r="C293" s="64"/>
      <c r="D293" s="64"/>
      <c r="E293" s="64"/>
      <c r="F293" s="71" t="s">
        <v>178</v>
      </c>
      <c r="G293" s="64"/>
      <c r="H293" s="21"/>
      <c r="I293" s="21"/>
      <c r="J293" s="21"/>
      <c r="K293" s="21"/>
      <c r="L293" s="21"/>
      <c r="M293" s="21"/>
      <c r="N293" s="21"/>
    </row>
    <row r="294" spans="1:14" x14ac:dyDescent="0.25">
      <c r="A294" s="151"/>
      <c r="B294" s="64">
        <v>2454</v>
      </c>
      <c r="C294" s="64" t="s">
        <v>9</v>
      </c>
      <c r="D294" s="64">
        <v>5</v>
      </c>
      <c r="E294" s="64">
        <v>4</v>
      </c>
      <c r="F294" s="71" t="s">
        <v>257</v>
      </c>
      <c r="G294" s="64"/>
      <c r="H294" s="21"/>
      <c r="I294" s="21"/>
      <c r="J294" s="21"/>
      <c r="K294" s="21"/>
      <c r="L294" s="21"/>
      <c r="M294" s="21"/>
      <c r="N294" s="21"/>
    </row>
    <row r="295" spans="1:14" ht="40.5" x14ac:dyDescent="0.25">
      <c r="A295" s="151"/>
      <c r="B295" s="64"/>
      <c r="C295" s="64"/>
      <c r="D295" s="64"/>
      <c r="E295" s="64"/>
      <c r="F295" s="71" t="s">
        <v>177</v>
      </c>
      <c r="G295" s="64"/>
      <c r="H295" s="21"/>
      <c r="I295" s="21"/>
      <c r="J295" s="21"/>
      <c r="K295" s="21"/>
      <c r="L295" s="21"/>
      <c r="M295" s="21"/>
      <c r="N295" s="21"/>
    </row>
    <row r="296" spans="1:14" x14ac:dyDescent="0.25">
      <c r="A296" s="151"/>
      <c r="B296" s="64"/>
      <c r="C296" s="64"/>
      <c r="D296" s="64"/>
      <c r="E296" s="64"/>
      <c r="F296" s="71" t="s">
        <v>178</v>
      </c>
      <c r="G296" s="64"/>
      <c r="H296" s="21"/>
      <c r="I296" s="21"/>
      <c r="J296" s="21"/>
      <c r="K296" s="21"/>
      <c r="L296" s="21"/>
      <c r="M296" s="21"/>
      <c r="N296" s="21"/>
    </row>
    <row r="297" spans="1:14" ht="51" customHeight="1" x14ac:dyDescent="0.25">
      <c r="A297" s="151"/>
      <c r="B297" s="64"/>
      <c r="C297" s="64"/>
      <c r="D297" s="64"/>
      <c r="E297" s="64"/>
      <c r="F297" s="71" t="s">
        <v>178</v>
      </c>
      <c r="G297" s="64"/>
      <c r="H297" s="21"/>
      <c r="I297" s="21"/>
      <c r="J297" s="21"/>
      <c r="K297" s="21"/>
      <c r="L297" s="21"/>
      <c r="M297" s="21"/>
      <c r="N297" s="21"/>
    </row>
    <row r="298" spans="1:14" x14ac:dyDescent="0.25">
      <c r="A298" s="151"/>
      <c r="B298" s="64">
        <v>2455</v>
      </c>
      <c r="C298" s="64" t="s">
        <v>9</v>
      </c>
      <c r="D298" s="64">
        <v>5</v>
      </c>
      <c r="E298" s="64">
        <v>5</v>
      </c>
      <c r="F298" s="71" t="s">
        <v>258</v>
      </c>
      <c r="G298" s="64"/>
      <c r="H298" s="21"/>
      <c r="I298" s="21"/>
      <c r="J298" s="21"/>
      <c r="K298" s="21"/>
      <c r="L298" s="21"/>
      <c r="M298" s="21"/>
      <c r="N298" s="21"/>
    </row>
    <row r="299" spans="1:14" ht="40.5" x14ac:dyDescent="0.25">
      <c r="A299" s="151"/>
      <c r="B299" s="64"/>
      <c r="C299" s="64"/>
      <c r="D299" s="64"/>
      <c r="E299" s="64"/>
      <c r="F299" s="71" t="s">
        <v>177</v>
      </c>
      <c r="G299" s="64"/>
      <c r="H299" s="21"/>
      <c r="I299" s="21"/>
      <c r="J299" s="21"/>
      <c r="K299" s="21"/>
      <c r="L299" s="21"/>
      <c r="M299" s="21"/>
      <c r="N299" s="21"/>
    </row>
    <row r="300" spans="1:14" x14ac:dyDescent="0.25">
      <c r="A300" s="151"/>
      <c r="B300" s="64"/>
      <c r="C300" s="64"/>
      <c r="D300" s="64"/>
      <c r="E300" s="64"/>
      <c r="F300" s="71" t="s">
        <v>178</v>
      </c>
      <c r="G300" s="64"/>
      <c r="H300" s="21"/>
      <c r="I300" s="21"/>
      <c r="J300" s="21"/>
      <c r="K300" s="21"/>
      <c r="L300" s="21"/>
      <c r="M300" s="21"/>
      <c r="N300" s="21"/>
    </row>
    <row r="301" spans="1:14" x14ac:dyDescent="0.25">
      <c r="A301" s="151"/>
      <c r="B301" s="64"/>
      <c r="C301" s="64"/>
      <c r="D301" s="64"/>
      <c r="E301" s="64"/>
      <c r="F301" s="71" t="s">
        <v>178</v>
      </c>
      <c r="G301" s="64"/>
      <c r="H301" s="21"/>
      <c r="I301" s="21"/>
      <c r="J301" s="21"/>
      <c r="K301" s="21"/>
      <c r="L301" s="21"/>
      <c r="M301" s="21"/>
      <c r="N301" s="21"/>
    </row>
    <row r="302" spans="1:14" x14ac:dyDescent="0.25">
      <c r="A302" s="151"/>
      <c r="B302" s="64">
        <v>2460</v>
      </c>
      <c r="C302" s="64" t="s">
        <v>9</v>
      </c>
      <c r="D302" s="64">
        <v>6</v>
      </c>
      <c r="E302" s="64">
        <v>0</v>
      </c>
      <c r="F302" s="71" t="s">
        <v>259</v>
      </c>
      <c r="G302" s="64"/>
      <c r="H302" s="21"/>
      <c r="I302" s="21"/>
      <c r="J302" s="21"/>
      <c r="K302" s="21"/>
      <c r="L302" s="21"/>
      <c r="M302" s="21"/>
      <c r="N302" s="21"/>
    </row>
    <row r="303" spans="1:14" ht="52.5" customHeight="1" x14ac:dyDescent="0.25">
      <c r="A303" s="151"/>
      <c r="B303" s="64"/>
      <c r="C303" s="64"/>
      <c r="D303" s="64"/>
      <c r="E303" s="64"/>
      <c r="F303" s="71" t="s">
        <v>156</v>
      </c>
      <c r="G303" s="64"/>
      <c r="H303" s="21"/>
      <c r="I303" s="21"/>
      <c r="J303" s="21"/>
      <c r="K303" s="21"/>
      <c r="L303" s="21"/>
      <c r="M303" s="21"/>
      <c r="N303" s="21"/>
    </row>
    <row r="304" spans="1:14" x14ac:dyDescent="0.25">
      <c r="A304" s="151"/>
      <c r="B304" s="64">
        <v>2461</v>
      </c>
      <c r="C304" s="64" t="s">
        <v>9</v>
      </c>
      <c r="D304" s="64">
        <v>6</v>
      </c>
      <c r="E304" s="64">
        <v>1</v>
      </c>
      <c r="F304" s="71" t="s">
        <v>260</v>
      </c>
      <c r="G304" s="64"/>
      <c r="H304" s="21"/>
      <c r="I304" s="21"/>
      <c r="J304" s="21"/>
      <c r="K304" s="21"/>
      <c r="L304" s="21"/>
      <c r="M304" s="21"/>
      <c r="N304" s="21"/>
    </row>
    <row r="305" spans="1:14" ht="40.5" x14ac:dyDescent="0.25">
      <c r="A305" s="151"/>
      <c r="B305" s="64"/>
      <c r="C305" s="64"/>
      <c r="D305" s="64"/>
      <c r="E305" s="64"/>
      <c r="F305" s="71" t="s">
        <v>177</v>
      </c>
      <c r="G305" s="64"/>
      <c r="H305" s="21"/>
      <c r="I305" s="21"/>
      <c r="J305" s="21"/>
      <c r="K305" s="21"/>
      <c r="L305" s="21"/>
      <c r="M305" s="21"/>
      <c r="N305" s="21"/>
    </row>
    <row r="306" spans="1:14" x14ac:dyDescent="0.25">
      <c r="A306" s="151"/>
      <c r="B306" s="64"/>
      <c r="C306" s="64"/>
      <c r="D306" s="64"/>
      <c r="E306" s="64"/>
      <c r="F306" s="71" t="s">
        <v>178</v>
      </c>
      <c r="G306" s="64"/>
      <c r="H306" s="21"/>
      <c r="I306" s="21"/>
      <c r="J306" s="21"/>
      <c r="K306" s="21"/>
      <c r="L306" s="21"/>
      <c r="M306" s="21"/>
      <c r="N306" s="21"/>
    </row>
    <row r="307" spans="1:14" x14ac:dyDescent="0.25">
      <c r="A307" s="151"/>
      <c r="B307" s="64"/>
      <c r="C307" s="64"/>
      <c r="D307" s="64"/>
      <c r="E307" s="64"/>
      <c r="F307" s="71" t="s">
        <v>178</v>
      </c>
      <c r="G307" s="64"/>
      <c r="H307" s="21"/>
      <c r="I307" s="21"/>
      <c r="J307" s="21"/>
      <c r="K307" s="21"/>
      <c r="L307" s="21"/>
      <c r="M307" s="21"/>
      <c r="N307" s="21"/>
    </row>
    <row r="308" spans="1:14" x14ac:dyDescent="0.25">
      <c r="A308" s="151"/>
      <c r="B308" s="64">
        <v>2470</v>
      </c>
      <c r="C308" s="64" t="s">
        <v>9</v>
      </c>
      <c r="D308" s="64">
        <v>7</v>
      </c>
      <c r="E308" s="64">
        <v>0</v>
      </c>
      <c r="F308" s="71" t="s">
        <v>261</v>
      </c>
      <c r="G308" s="64"/>
      <c r="H308" s="21"/>
      <c r="I308" s="21"/>
      <c r="J308" s="21"/>
      <c r="K308" s="21"/>
      <c r="L308" s="21"/>
      <c r="M308" s="21"/>
      <c r="N308" s="21"/>
    </row>
    <row r="309" spans="1:14" ht="52.5" customHeight="1" x14ac:dyDescent="0.25">
      <c r="A309" s="151"/>
      <c r="B309" s="64"/>
      <c r="C309" s="64"/>
      <c r="D309" s="64"/>
      <c r="E309" s="64"/>
      <c r="F309" s="71" t="s">
        <v>156</v>
      </c>
      <c r="G309" s="64"/>
      <c r="H309" s="21"/>
      <c r="I309" s="21"/>
      <c r="J309" s="21"/>
      <c r="K309" s="21"/>
      <c r="L309" s="21"/>
      <c r="M309" s="21"/>
      <c r="N309" s="21"/>
    </row>
    <row r="310" spans="1:14" ht="27" x14ac:dyDescent="0.25">
      <c r="A310" s="151"/>
      <c r="B310" s="64">
        <v>2471</v>
      </c>
      <c r="C310" s="64" t="s">
        <v>9</v>
      </c>
      <c r="D310" s="64">
        <v>7</v>
      </c>
      <c r="E310" s="64">
        <v>1</v>
      </c>
      <c r="F310" s="71" t="s">
        <v>262</v>
      </c>
      <c r="G310" s="64"/>
      <c r="H310" s="21"/>
      <c r="I310" s="21"/>
      <c r="J310" s="21"/>
      <c r="K310" s="21"/>
      <c r="L310" s="21"/>
      <c r="M310" s="21"/>
      <c r="N310" s="21"/>
    </row>
    <row r="311" spans="1:14" ht="40.5" x14ac:dyDescent="0.25">
      <c r="A311" s="151"/>
      <c r="B311" s="64"/>
      <c r="C311" s="64"/>
      <c r="D311" s="64"/>
      <c r="E311" s="64"/>
      <c r="F311" s="71" t="s">
        <v>177</v>
      </c>
      <c r="G311" s="64"/>
      <c r="H311" s="21"/>
      <c r="I311" s="21"/>
      <c r="J311" s="21"/>
      <c r="K311" s="21"/>
      <c r="L311" s="21"/>
      <c r="M311" s="21"/>
      <c r="N311" s="21"/>
    </row>
    <row r="312" spans="1:14" ht="42" customHeight="1" x14ac:dyDescent="0.25">
      <c r="A312" s="151"/>
      <c r="B312" s="64"/>
      <c r="C312" s="64"/>
      <c r="D312" s="64"/>
      <c r="E312" s="64"/>
      <c r="F312" s="71" t="s">
        <v>178</v>
      </c>
      <c r="G312" s="64"/>
      <c r="H312" s="21"/>
      <c r="I312" s="21"/>
      <c r="J312" s="21"/>
      <c r="K312" s="21"/>
      <c r="L312" s="21"/>
      <c r="M312" s="21"/>
      <c r="N312" s="21"/>
    </row>
    <row r="313" spans="1:14" ht="51.75" customHeight="1" x14ac:dyDescent="0.25">
      <c r="A313" s="151"/>
      <c r="B313" s="64"/>
      <c r="C313" s="64"/>
      <c r="D313" s="64"/>
      <c r="E313" s="64"/>
      <c r="F313" s="71" t="s">
        <v>178</v>
      </c>
      <c r="G313" s="64"/>
      <c r="H313" s="21"/>
      <c r="I313" s="21"/>
      <c r="J313" s="21"/>
      <c r="K313" s="21"/>
      <c r="L313" s="21"/>
      <c r="M313" s="21"/>
      <c r="N313" s="21"/>
    </row>
    <row r="314" spans="1:14" x14ac:dyDescent="0.25">
      <c r="A314" s="151"/>
      <c r="B314" s="64">
        <v>2472</v>
      </c>
      <c r="C314" s="64" t="s">
        <v>9</v>
      </c>
      <c r="D314" s="64">
        <v>7</v>
      </c>
      <c r="E314" s="64">
        <v>2</v>
      </c>
      <c r="F314" s="71" t="s">
        <v>263</v>
      </c>
      <c r="G314" s="64"/>
      <c r="H314" s="21"/>
      <c r="I314" s="21"/>
      <c r="J314" s="21"/>
      <c r="K314" s="21"/>
      <c r="L314" s="21"/>
      <c r="M314" s="21"/>
      <c r="N314" s="21"/>
    </row>
    <row r="315" spans="1:14" ht="40.5" x14ac:dyDescent="0.25">
      <c r="A315" s="151"/>
      <c r="B315" s="64"/>
      <c r="C315" s="64"/>
      <c r="D315" s="64"/>
      <c r="E315" s="64"/>
      <c r="F315" s="71" t="s">
        <v>177</v>
      </c>
      <c r="G315" s="64"/>
      <c r="H315" s="21"/>
      <c r="I315" s="21"/>
      <c r="J315" s="21"/>
      <c r="K315" s="21"/>
      <c r="L315" s="21"/>
      <c r="M315" s="21"/>
      <c r="N315" s="21"/>
    </row>
    <row r="316" spans="1:14" x14ac:dyDescent="0.25">
      <c r="A316" s="151"/>
      <c r="B316" s="64"/>
      <c r="C316" s="64"/>
      <c r="D316" s="64"/>
      <c r="E316" s="64"/>
      <c r="F316" s="71" t="s">
        <v>178</v>
      </c>
      <c r="G316" s="64"/>
      <c r="H316" s="21"/>
      <c r="I316" s="21"/>
      <c r="J316" s="21"/>
      <c r="K316" s="21"/>
      <c r="L316" s="21"/>
      <c r="M316" s="21"/>
      <c r="N316" s="21"/>
    </row>
    <row r="317" spans="1:14" ht="51" customHeight="1" x14ac:dyDescent="0.25">
      <c r="A317" s="151"/>
      <c r="B317" s="64"/>
      <c r="C317" s="64"/>
      <c r="D317" s="64"/>
      <c r="E317" s="64"/>
      <c r="F317" s="71" t="s">
        <v>178</v>
      </c>
      <c r="G317" s="64"/>
      <c r="H317" s="21"/>
      <c r="I317" s="21"/>
      <c r="J317" s="21"/>
      <c r="K317" s="21"/>
      <c r="L317" s="21"/>
      <c r="M317" s="21"/>
      <c r="N317" s="21"/>
    </row>
    <row r="318" spans="1:14" x14ac:dyDescent="0.25">
      <c r="A318" s="151"/>
      <c r="B318" s="64">
        <v>2473</v>
      </c>
      <c r="C318" s="64" t="s">
        <v>9</v>
      </c>
      <c r="D318" s="64">
        <v>7</v>
      </c>
      <c r="E318" s="64">
        <v>3</v>
      </c>
      <c r="F318" s="71" t="s">
        <v>264</v>
      </c>
      <c r="G318" s="64"/>
      <c r="H318" s="21"/>
      <c r="I318" s="21"/>
      <c r="J318" s="21"/>
      <c r="K318" s="21"/>
      <c r="L318" s="21"/>
      <c r="M318" s="21"/>
      <c r="N318" s="21"/>
    </row>
    <row r="319" spans="1:14" ht="40.5" x14ac:dyDescent="0.25">
      <c r="A319" s="151"/>
      <c r="B319" s="64"/>
      <c r="C319" s="64"/>
      <c r="D319" s="64"/>
      <c r="E319" s="64"/>
      <c r="F319" s="71" t="s">
        <v>177</v>
      </c>
      <c r="G319" s="64"/>
      <c r="H319" s="21"/>
      <c r="I319" s="21"/>
      <c r="J319" s="21"/>
      <c r="K319" s="21"/>
      <c r="L319" s="21"/>
      <c r="M319" s="21"/>
      <c r="N319" s="21"/>
    </row>
    <row r="320" spans="1:14" x14ac:dyDescent="0.25">
      <c r="A320" s="151"/>
      <c r="B320" s="64"/>
      <c r="C320" s="64"/>
      <c r="D320" s="64"/>
      <c r="E320" s="64"/>
      <c r="F320" s="71" t="s">
        <v>178</v>
      </c>
      <c r="G320" s="64"/>
      <c r="H320" s="21"/>
      <c r="I320" s="21"/>
      <c r="J320" s="21"/>
      <c r="K320" s="21"/>
      <c r="L320" s="21"/>
      <c r="M320" s="21"/>
      <c r="N320" s="21"/>
    </row>
    <row r="321" spans="1:14" ht="51" customHeight="1" x14ac:dyDescent="0.25">
      <c r="A321" s="151"/>
      <c r="B321" s="64"/>
      <c r="C321" s="64"/>
      <c r="D321" s="64"/>
      <c r="E321" s="64"/>
      <c r="F321" s="71" t="s">
        <v>178</v>
      </c>
      <c r="G321" s="64"/>
      <c r="H321" s="21"/>
      <c r="I321" s="21"/>
      <c r="J321" s="21"/>
      <c r="K321" s="21"/>
      <c r="L321" s="21"/>
      <c r="M321" s="21"/>
      <c r="N321" s="21"/>
    </row>
    <row r="322" spans="1:14" x14ac:dyDescent="0.25">
      <c r="A322" s="151"/>
      <c r="B322" s="64">
        <v>2474</v>
      </c>
      <c r="C322" s="64" t="s">
        <v>9</v>
      </c>
      <c r="D322" s="64">
        <v>7</v>
      </c>
      <c r="E322" s="64">
        <v>4</v>
      </c>
      <c r="F322" s="71" t="s">
        <v>265</v>
      </c>
      <c r="G322" s="64"/>
      <c r="H322" s="21"/>
      <c r="I322" s="21"/>
      <c r="J322" s="21"/>
      <c r="K322" s="21"/>
      <c r="L322" s="21"/>
      <c r="M322" s="21"/>
      <c r="N322" s="21"/>
    </row>
    <row r="323" spans="1:14" ht="40.5" x14ac:dyDescent="0.25">
      <c r="A323" s="151"/>
      <c r="B323" s="64"/>
      <c r="C323" s="64"/>
      <c r="D323" s="64"/>
      <c r="E323" s="64"/>
      <c r="F323" s="71" t="s">
        <v>177</v>
      </c>
      <c r="G323" s="64"/>
      <c r="H323" s="21"/>
      <c r="I323" s="21"/>
      <c r="J323" s="21"/>
      <c r="K323" s="21"/>
      <c r="L323" s="21"/>
      <c r="M323" s="21"/>
      <c r="N323" s="21"/>
    </row>
    <row r="324" spans="1:14" ht="50.25" customHeight="1" x14ac:dyDescent="0.25">
      <c r="A324" s="151"/>
      <c r="B324" s="64"/>
      <c r="C324" s="64"/>
      <c r="D324" s="64"/>
      <c r="E324" s="64"/>
      <c r="F324" s="71" t="s">
        <v>178</v>
      </c>
      <c r="G324" s="64"/>
      <c r="H324" s="21"/>
      <c r="I324" s="21"/>
      <c r="J324" s="21"/>
      <c r="K324" s="21"/>
      <c r="L324" s="21"/>
      <c r="M324" s="21"/>
      <c r="N324" s="21"/>
    </row>
    <row r="325" spans="1:14" x14ac:dyDescent="0.25">
      <c r="A325" s="151"/>
      <c r="B325" s="64"/>
      <c r="C325" s="64"/>
      <c r="D325" s="64"/>
      <c r="E325" s="64"/>
      <c r="F325" s="71" t="s">
        <v>178</v>
      </c>
      <c r="G325" s="64"/>
      <c r="H325" s="21"/>
      <c r="I325" s="21"/>
      <c r="J325" s="21"/>
      <c r="K325" s="21"/>
      <c r="L325" s="21"/>
      <c r="M325" s="21"/>
      <c r="N325" s="21"/>
    </row>
    <row r="326" spans="1:14" ht="64.5" customHeight="1" x14ac:dyDescent="0.25">
      <c r="A326" s="151"/>
      <c r="B326" s="64">
        <v>2480</v>
      </c>
      <c r="C326" s="64" t="s">
        <v>9</v>
      </c>
      <c r="D326" s="64">
        <v>8</v>
      </c>
      <c r="E326" s="64">
        <v>0</v>
      </c>
      <c r="F326" s="71" t="s">
        <v>266</v>
      </c>
      <c r="G326" s="64"/>
      <c r="H326" s="21"/>
      <c r="I326" s="21"/>
      <c r="J326" s="21"/>
      <c r="K326" s="21"/>
      <c r="L326" s="21"/>
      <c r="M326" s="21"/>
      <c r="N326" s="21"/>
    </row>
    <row r="327" spans="1:14" ht="51.75" customHeight="1" x14ac:dyDescent="0.25">
      <c r="A327" s="151"/>
      <c r="B327" s="64"/>
      <c r="C327" s="64"/>
      <c r="D327" s="64"/>
      <c r="E327" s="64"/>
      <c r="F327" s="71" t="s">
        <v>156</v>
      </c>
      <c r="G327" s="64"/>
      <c r="H327" s="21"/>
      <c r="I327" s="21"/>
      <c r="J327" s="21"/>
      <c r="K327" s="21"/>
      <c r="L327" s="21"/>
      <c r="M327" s="21"/>
      <c r="N327" s="21"/>
    </row>
    <row r="328" spans="1:14" ht="40.5" x14ac:dyDescent="0.25">
      <c r="A328" s="151"/>
      <c r="B328" s="64">
        <v>2481</v>
      </c>
      <c r="C328" s="64" t="s">
        <v>9</v>
      </c>
      <c r="D328" s="64">
        <v>8</v>
      </c>
      <c r="E328" s="64">
        <v>1</v>
      </c>
      <c r="F328" s="71" t="s">
        <v>267</v>
      </c>
      <c r="G328" s="64"/>
      <c r="H328" s="21"/>
      <c r="I328" s="21"/>
      <c r="J328" s="21"/>
      <c r="K328" s="21"/>
      <c r="L328" s="21"/>
      <c r="M328" s="21"/>
      <c r="N328" s="21"/>
    </row>
    <row r="329" spans="1:14" ht="40.5" x14ac:dyDescent="0.25">
      <c r="A329" s="151"/>
      <c r="B329" s="64"/>
      <c r="C329" s="64"/>
      <c r="D329" s="64"/>
      <c r="E329" s="64"/>
      <c r="F329" s="71" t="s">
        <v>177</v>
      </c>
      <c r="G329" s="64"/>
      <c r="H329" s="21"/>
      <c r="I329" s="21"/>
      <c r="J329" s="21"/>
      <c r="K329" s="21"/>
      <c r="L329" s="21"/>
      <c r="M329" s="21"/>
      <c r="N329" s="21"/>
    </row>
    <row r="330" spans="1:14" ht="67.5" customHeight="1" x14ac:dyDescent="0.25">
      <c r="A330" s="151"/>
      <c r="B330" s="64"/>
      <c r="C330" s="64"/>
      <c r="D330" s="64"/>
      <c r="E330" s="64"/>
      <c r="F330" s="71" t="s">
        <v>178</v>
      </c>
      <c r="G330" s="64"/>
      <c r="H330" s="21"/>
      <c r="I330" s="21"/>
      <c r="J330" s="21"/>
      <c r="K330" s="21"/>
      <c r="L330" s="21"/>
      <c r="M330" s="21"/>
      <c r="N330" s="21"/>
    </row>
    <row r="331" spans="1:14" ht="54" customHeight="1" x14ac:dyDescent="0.25">
      <c r="A331" s="151"/>
      <c r="B331" s="64"/>
      <c r="C331" s="64"/>
      <c r="D331" s="64"/>
      <c r="E331" s="64"/>
      <c r="F331" s="71" t="s">
        <v>178</v>
      </c>
      <c r="G331" s="64"/>
      <c r="H331" s="21"/>
      <c r="I331" s="21"/>
      <c r="J331" s="21"/>
      <c r="K331" s="21"/>
      <c r="L331" s="21"/>
      <c r="M331" s="21"/>
      <c r="N331" s="21"/>
    </row>
    <row r="332" spans="1:14" ht="54" x14ac:dyDescent="0.25">
      <c r="A332" s="151"/>
      <c r="B332" s="64">
        <v>2482</v>
      </c>
      <c r="C332" s="64" t="s">
        <v>9</v>
      </c>
      <c r="D332" s="64">
        <v>8</v>
      </c>
      <c r="E332" s="64">
        <v>2</v>
      </c>
      <c r="F332" s="71" t="s">
        <v>268</v>
      </c>
      <c r="G332" s="64"/>
      <c r="H332" s="21"/>
      <c r="I332" s="21"/>
      <c r="J332" s="21"/>
      <c r="K332" s="21"/>
      <c r="L332" s="21"/>
      <c r="M332" s="21"/>
      <c r="N332" s="21"/>
    </row>
    <row r="333" spans="1:14" ht="40.5" x14ac:dyDescent="0.25">
      <c r="A333" s="151"/>
      <c r="B333" s="64"/>
      <c r="C333" s="64"/>
      <c r="D333" s="64"/>
      <c r="E333" s="64"/>
      <c r="F333" s="71" t="s">
        <v>177</v>
      </c>
      <c r="G333" s="64"/>
      <c r="H333" s="21"/>
      <c r="I333" s="21"/>
      <c r="J333" s="21"/>
      <c r="K333" s="21"/>
      <c r="L333" s="21"/>
      <c r="M333" s="21"/>
      <c r="N333" s="21"/>
    </row>
    <row r="334" spans="1:14" x14ac:dyDescent="0.25">
      <c r="A334" s="151"/>
      <c r="B334" s="64"/>
      <c r="C334" s="64"/>
      <c r="D334" s="64"/>
      <c r="E334" s="64"/>
      <c r="F334" s="71" t="s">
        <v>178</v>
      </c>
      <c r="G334" s="64"/>
      <c r="H334" s="21"/>
      <c r="I334" s="21"/>
      <c r="J334" s="21"/>
      <c r="K334" s="21"/>
      <c r="L334" s="21"/>
      <c r="M334" s="21"/>
      <c r="N334" s="21"/>
    </row>
    <row r="335" spans="1:14" x14ac:dyDescent="0.25">
      <c r="A335" s="151"/>
      <c r="B335" s="64"/>
      <c r="C335" s="64"/>
      <c r="D335" s="64"/>
      <c r="E335" s="64"/>
      <c r="F335" s="71" t="s">
        <v>178</v>
      </c>
      <c r="G335" s="64"/>
      <c r="H335" s="21"/>
      <c r="I335" s="21"/>
      <c r="J335" s="21"/>
      <c r="K335" s="21"/>
      <c r="L335" s="21"/>
      <c r="M335" s="21"/>
      <c r="N335" s="21"/>
    </row>
    <row r="336" spans="1:14" ht="27" x14ac:dyDescent="0.25">
      <c r="A336" s="151"/>
      <c r="B336" s="64">
        <v>2483</v>
      </c>
      <c r="C336" s="64" t="s">
        <v>9</v>
      </c>
      <c r="D336" s="64">
        <v>8</v>
      </c>
      <c r="E336" s="64">
        <v>3</v>
      </c>
      <c r="F336" s="71" t="s">
        <v>269</v>
      </c>
      <c r="G336" s="64"/>
      <c r="H336" s="21"/>
      <c r="I336" s="21"/>
      <c r="J336" s="21"/>
      <c r="K336" s="21"/>
      <c r="L336" s="21"/>
      <c r="M336" s="21"/>
      <c r="N336" s="21"/>
    </row>
    <row r="337" spans="1:14" ht="40.5" x14ac:dyDescent="0.25">
      <c r="A337" s="151"/>
      <c r="B337" s="64"/>
      <c r="C337" s="64"/>
      <c r="D337" s="64"/>
      <c r="E337" s="64"/>
      <c r="F337" s="71" t="s">
        <v>177</v>
      </c>
      <c r="G337" s="64"/>
      <c r="H337" s="21"/>
      <c r="I337" s="21"/>
      <c r="J337" s="21"/>
      <c r="K337" s="21"/>
      <c r="L337" s="21"/>
      <c r="M337" s="21"/>
      <c r="N337" s="21"/>
    </row>
    <row r="338" spans="1:14" x14ac:dyDescent="0.25">
      <c r="A338" s="151"/>
      <c r="B338" s="64"/>
      <c r="C338" s="64"/>
      <c r="D338" s="64"/>
      <c r="E338" s="64"/>
      <c r="F338" s="71" t="s">
        <v>178</v>
      </c>
      <c r="G338" s="64"/>
      <c r="H338" s="21"/>
      <c r="I338" s="21"/>
      <c r="J338" s="21"/>
      <c r="K338" s="21"/>
      <c r="L338" s="21"/>
      <c r="M338" s="21"/>
      <c r="N338" s="21"/>
    </row>
    <row r="339" spans="1:14" ht="56.25" customHeight="1" x14ac:dyDescent="0.25">
      <c r="A339" s="151"/>
      <c r="B339" s="64"/>
      <c r="C339" s="64"/>
      <c r="D339" s="64"/>
      <c r="E339" s="64"/>
      <c r="F339" s="71" t="s">
        <v>178</v>
      </c>
      <c r="G339" s="64"/>
      <c r="H339" s="21"/>
      <c r="I339" s="21"/>
      <c r="J339" s="21"/>
      <c r="K339" s="21"/>
      <c r="L339" s="21"/>
      <c r="M339" s="21"/>
      <c r="N339" s="21"/>
    </row>
    <row r="340" spans="1:14" ht="40.5" x14ac:dyDescent="0.25">
      <c r="A340" s="151"/>
      <c r="B340" s="64">
        <v>2484</v>
      </c>
      <c r="C340" s="64" t="s">
        <v>9</v>
      </c>
      <c r="D340" s="64">
        <v>8</v>
      </c>
      <c r="E340" s="64">
        <v>4</v>
      </c>
      <c r="F340" s="71" t="s">
        <v>270</v>
      </c>
      <c r="G340" s="64"/>
      <c r="H340" s="21"/>
      <c r="I340" s="21"/>
      <c r="J340" s="21"/>
      <c r="K340" s="21"/>
      <c r="L340" s="21"/>
      <c r="M340" s="21"/>
      <c r="N340" s="21"/>
    </row>
    <row r="341" spans="1:14" ht="40.5" x14ac:dyDescent="0.25">
      <c r="A341" s="151"/>
      <c r="B341" s="64"/>
      <c r="C341" s="64"/>
      <c r="D341" s="64"/>
      <c r="E341" s="64"/>
      <c r="F341" s="71" t="s">
        <v>177</v>
      </c>
      <c r="G341" s="64"/>
      <c r="H341" s="21"/>
      <c r="I341" s="21"/>
      <c r="J341" s="21"/>
      <c r="K341" s="21"/>
      <c r="L341" s="21"/>
      <c r="M341" s="21"/>
      <c r="N341" s="21"/>
    </row>
    <row r="342" spans="1:14" ht="44.25" customHeight="1" x14ac:dyDescent="0.25">
      <c r="A342" s="151"/>
      <c r="B342" s="64"/>
      <c r="C342" s="64"/>
      <c r="D342" s="64"/>
      <c r="E342" s="64"/>
      <c r="F342" s="71" t="s">
        <v>178</v>
      </c>
      <c r="G342" s="64"/>
      <c r="H342" s="21"/>
      <c r="I342" s="21"/>
      <c r="J342" s="21"/>
      <c r="K342" s="21"/>
      <c r="L342" s="21"/>
      <c r="M342" s="21"/>
      <c r="N342" s="21"/>
    </row>
    <row r="343" spans="1:14" x14ac:dyDescent="0.25">
      <c r="A343" s="151"/>
      <c r="B343" s="64"/>
      <c r="C343" s="64"/>
      <c r="D343" s="64"/>
      <c r="E343" s="64"/>
      <c r="F343" s="71" t="s">
        <v>178</v>
      </c>
      <c r="G343" s="64"/>
      <c r="H343" s="21"/>
      <c r="I343" s="21"/>
      <c r="J343" s="21"/>
      <c r="K343" s="21"/>
      <c r="L343" s="21"/>
      <c r="M343" s="21"/>
      <c r="N343" s="21"/>
    </row>
    <row r="344" spans="1:14" ht="46.5" customHeight="1" x14ac:dyDescent="0.25">
      <c r="A344" s="151"/>
      <c r="B344" s="64">
        <v>2490</v>
      </c>
      <c r="C344" s="64" t="s">
        <v>9</v>
      </c>
      <c r="D344" s="64">
        <v>9</v>
      </c>
      <c r="E344" s="64">
        <v>0</v>
      </c>
      <c r="F344" s="71" t="s">
        <v>274</v>
      </c>
      <c r="G344" s="64"/>
      <c r="H344" s="21">
        <f t="shared" ref="H344:N344" si="43">SUM(H346)</f>
        <v>-850000</v>
      </c>
      <c r="I344" s="21">
        <f t="shared" si="43"/>
        <v>0</v>
      </c>
      <c r="J344" s="21">
        <f t="shared" si="43"/>
        <v>-850000</v>
      </c>
      <c r="K344" s="21">
        <f t="shared" si="43"/>
        <v>-202380.95238095237</v>
      </c>
      <c r="L344" s="21">
        <f t="shared" si="43"/>
        <v>-350403.89913374081</v>
      </c>
      <c r="M344" s="21">
        <f t="shared" si="43"/>
        <v>-581189.12103174627</v>
      </c>
      <c r="N344" s="21">
        <f t="shared" si="43"/>
        <v>-850000</v>
      </c>
    </row>
    <row r="345" spans="1:14" ht="48.75" customHeight="1" x14ac:dyDescent="0.25">
      <c r="A345" s="151"/>
      <c r="B345" s="64"/>
      <c r="C345" s="64"/>
      <c r="D345" s="64"/>
      <c r="E345" s="64"/>
      <c r="F345" s="71" t="s">
        <v>156</v>
      </c>
      <c r="G345" s="64"/>
      <c r="H345" s="21"/>
      <c r="I345" s="21"/>
      <c r="J345" s="21"/>
      <c r="K345" s="21"/>
      <c r="L345" s="21"/>
      <c r="M345" s="21"/>
      <c r="N345" s="21"/>
    </row>
    <row r="346" spans="1:14" ht="27" x14ac:dyDescent="0.25">
      <c r="A346" s="151"/>
      <c r="B346" s="64">
        <v>2491</v>
      </c>
      <c r="C346" s="64" t="s">
        <v>9</v>
      </c>
      <c r="D346" s="64">
        <v>9</v>
      </c>
      <c r="E346" s="64">
        <v>1</v>
      </c>
      <c r="F346" s="71" t="s">
        <v>274</v>
      </c>
      <c r="G346" s="64"/>
      <c r="H346" s="21">
        <f>I346+J346</f>
        <v>-850000</v>
      </c>
      <c r="I346" s="21"/>
      <c r="J346" s="21">
        <f>+'3.Tntesagitakan tsaxs'!F209</f>
        <v>-850000</v>
      </c>
      <c r="K346" s="21">
        <f>+'3.Tntesagitakan tsaxs'!G209</f>
        <v>-202380.95238095237</v>
      </c>
      <c r="L346" s="21">
        <f>+'3.Tntesagitakan tsaxs'!H209</f>
        <v>-350403.89913374081</v>
      </c>
      <c r="M346" s="21">
        <f>+'3.Tntesagitakan tsaxs'!I209</f>
        <v>-581189.12103174627</v>
      </c>
      <c r="N346" s="21">
        <f>+'3.Tntesagitakan tsaxs'!J209</f>
        <v>-850000</v>
      </c>
    </row>
    <row r="347" spans="1:14" ht="40.5" x14ac:dyDescent="0.25">
      <c r="A347" s="151"/>
      <c r="B347" s="64"/>
      <c r="C347" s="64"/>
      <c r="D347" s="64"/>
      <c r="E347" s="64"/>
      <c r="F347" s="71" t="s">
        <v>177</v>
      </c>
      <c r="G347" s="64"/>
      <c r="H347" s="21"/>
      <c r="I347" s="21"/>
      <c r="J347" s="21"/>
      <c r="K347" s="21"/>
      <c r="L347" s="21"/>
      <c r="M347" s="21"/>
      <c r="N347" s="21"/>
    </row>
    <row r="348" spans="1:14" x14ac:dyDescent="0.25">
      <c r="A348" s="151"/>
      <c r="B348" s="64"/>
      <c r="C348" s="64"/>
      <c r="D348" s="64"/>
      <c r="E348" s="64"/>
      <c r="F348" s="71" t="s">
        <v>178</v>
      </c>
      <c r="G348" s="64"/>
      <c r="H348" s="21"/>
      <c r="I348" s="21"/>
      <c r="J348" s="21"/>
      <c r="K348" s="21"/>
      <c r="L348" s="21"/>
      <c r="M348" s="21"/>
      <c r="N348" s="21"/>
    </row>
    <row r="349" spans="1:14" x14ac:dyDescent="0.25">
      <c r="A349" s="151"/>
      <c r="B349" s="64"/>
      <c r="C349" s="64"/>
      <c r="D349" s="64"/>
      <c r="E349" s="64"/>
      <c r="F349" s="71" t="s">
        <v>178</v>
      </c>
      <c r="G349" s="64"/>
      <c r="H349" s="21"/>
      <c r="I349" s="21"/>
      <c r="J349" s="21"/>
      <c r="K349" s="21"/>
      <c r="L349" s="21"/>
      <c r="M349" s="21"/>
      <c r="N349" s="21"/>
    </row>
    <row r="350" spans="1:14" ht="40.5" x14ac:dyDescent="0.25">
      <c r="A350" s="151"/>
      <c r="B350" s="64">
        <v>2500</v>
      </c>
      <c r="C350" s="64" t="s">
        <v>10</v>
      </c>
      <c r="D350" s="64">
        <v>0</v>
      </c>
      <c r="E350" s="64">
        <v>0</v>
      </c>
      <c r="F350" s="71" t="s">
        <v>275</v>
      </c>
      <c r="G350" s="64"/>
      <c r="H350" s="21">
        <f t="shared" ref="H350:N350" si="44">H352+H368+H374+H380+H386+H392</f>
        <v>1090415.352</v>
      </c>
      <c r="I350" s="21">
        <f t="shared" si="44"/>
        <v>954259.80299999996</v>
      </c>
      <c r="J350" s="21">
        <f t="shared" si="44"/>
        <v>136155.549</v>
      </c>
      <c r="K350" s="21">
        <f t="shared" si="44"/>
        <v>340175.35961866664</v>
      </c>
      <c r="L350" s="21">
        <f t="shared" si="44"/>
        <v>583168.46069841273</v>
      </c>
      <c r="M350" s="21">
        <f t="shared" si="44"/>
        <v>840116.39892063499</v>
      </c>
      <c r="N350" s="21">
        <f t="shared" si="44"/>
        <v>1090415.352</v>
      </c>
    </row>
    <row r="351" spans="1:14" x14ac:dyDescent="0.25">
      <c r="A351" s="151"/>
      <c r="B351" s="64"/>
      <c r="C351" s="64"/>
      <c r="D351" s="64"/>
      <c r="E351" s="64"/>
      <c r="F351" s="71" t="s">
        <v>154</v>
      </c>
      <c r="G351" s="64"/>
      <c r="H351" s="21"/>
      <c r="I351" s="21"/>
      <c r="J351" s="21"/>
      <c r="K351" s="21"/>
      <c r="L351" s="21"/>
      <c r="M351" s="21"/>
      <c r="N351" s="21"/>
    </row>
    <row r="352" spans="1:14" x14ac:dyDescent="0.25">
      <c r="A352" s="151"/>
      <c r="B352" s="64">
        <v>2510</v>
      </c>
      <c r="C352" s="64" t="s">
        <v>10</v>
      </c>
      <c r="D352" s="64">
        <v>1</v>
      </c>
      <c r="E352" s="64">
        <v>0</v>
      </c>
      <c r="F352" s="71" t="s">
        <v>276</v>
      </c>
      <c r="G352" s="64"/>
      <c r="H352" s="21">
        <f t="shared" ref="H352:N352" si="45">H354</f>
        <v>758484.15999999992</v>
      </c>
      <c r="I352" s="21">
        <f t="shared" si="45"/>
        <v>756484.15999999992</v>
      </c>
      <c r="J352" s="21">
        <f t="shared" si="45"/>
        <v>2000</v>
      </c>
      <c r="K352" s="21">
        <f t="shared" si="45"/>
        <v>185218.16666666666</v>
      </c>
      <c r="L352" s="21">
        <f t="shared" si="45"/>
        <v>368819.49111111125</v>
      </c>
      <c r="M352" s="21">
        <f t="shared" si="45"/>
        <v>567470.10444444453</v>
      </c>
      <c r="N352" s="21">
        <f t="shared" si="45"/>
        <v>758484.15999999992</v>
      </c>
    </row>
    <row r="353" spans="1:14" ht="50.25" customHeight="1" x14ac:dyDescent="0.25">
      <c r="A353" s="151"/>
      <c r="B353" s="64"/>
      <c r="C353" s="64"/>
      <c r="D353" s="64"/>
      <c r="E353" s="64"/>
      <c r="F353" s="71" t="s">
        <v>156</v>
      </c>
      <c r="G353" s="64"/>
      <c r="H353" s="21"/>
      <c r="I353" s="21"/>
      <c r="J353" s="21"/>
      <c r="K353" s="21"/>
      <c r="L353" s="21"/>
      <c r="M353" s="21"/>
      <c r="N353" s="21"/>
    </row>
    <row r="354" spans="1:14" ht="27" customHeight="1" x14ac:dyDescent="0.25">
      <c r="A354" s="151"/>
      <c r="B354" s="64">
        <v>2511</v>
      </c>
      <c r="C354" s="64" t="s">
        <v>10</v>
      </c>
      <c r="D354" s="64">
        <v>1</v>
      </c>
      <c r="E354" s="64">
        <v>1</v>
      </c>
      <c r="F354" s="71" t="s">
        <v>276</v>
      </c>
      <c r="G354" s="64"/>
      <c r="H354" s="21">
        <f>SUM(H356:H367)</f>
        <v>758484.15999999992</v>
      </c>
      <c r="I354" s="21">
        <f t="shared" ref="I354:N354" si="46">SUM(I356:I367)</f>
        <v>756484.15999999992</v>
      </c>
      <c r="J354" s="21">
        <f t="shared" si="46"/>
        <v>2000</v>
      </c>
      <c r="K354" s="21">
        <f t="shared" si="46"/>
        <v>185218.16666666666</v>
      </c>
      <c r="L354" s="21">
        <f t="shared" si="46"/>
        <v>368819.49111111125</v>
      </c>
      <c r="M354" s="21">
        <f t="shared" si="46"/>
        <v>567470.10444444453</v>
      </c>
      <c r="N354" s="21">
        <f t="shared" si="46"/>
        <v>758484.15999999992</v>
      </c>
    </row>
    <row r="355" spans="1:14" ht="40.5" x14ac:dyDescent="0.25">
      <c r="A355" s="151"/>
      <c r="B355" s="64"/>
      <c r="C355" s="64"/>
      <c r="D355" s="64"/>
      <c r="E355" s="64"/>
      <c r="F355" s="71" t="s">
        <v>177</v>
      </c>
      <c r="G355" s="64"/>
      <c r="H355" s="21"/>
      <c r="I355" s="21"/>
      <c r="J355" s="21"/>
      <c r="K355" s="21"/>
      <c r="L355" s="21"/>
      <c r="M355" s="21"/>
      <c r="N355" s="21"/>
    </row>
    <row r="356" spans="1:14" ht="27" x14ac:dyDescent="0.25">
      <c r="A356" s="151"/>
      <c r="B356" s="64"/>
      <c r="C356" s="64"/>
      <c r="D356" s="64"/>
      <c r="E356" s="64"/>
      <c r="F356" s="71" t="s">
        <v>158</v>
      </c>
      <c r="G356" s="64" t="s">
        <v>20</v>
      </c>
      <c r="H356" s="21">
        <f t="shared" ref="H356:H359" si="47">SUM(I356:J356)</f>
        <v>625292.96</v>
      </c>
      <c r="I356" s="21">
        <v>625292.96</v>
      </c>
      <c r="J356" s="21"/>
      <c r="K356" s="145">
        <f>+H356/252*60</f>
        <v>148879.2761904762</v>
      </c>
      <c r="L356" s="145">
        <f>+H356/252*121</f>
        <v>300239.87365079368</v>
      </c>
      <c r="M356" s="145">
        <f>+H356/252*187</f>
        <v>464007.07746031747</v>
      </c>
      <c r="N356" s="145">
        <f t="shared" ref="N356:N367" si="48">+H356</f>
        <v>625292.96</v>
      </c>
    </row>
    <row r="357" spans="1:14" ht="18" customHeight="1" x14ac:dyDescent="0.25">
      <c r="A357" s="151"/>
      <c r="B357" s="64"/>
      <c r="C357" s="64"/>
      <c r="D357" s="64"/>
      <c r="E357" s="64"/>
      <c r="F357" s="71" t="s">
        <v>600</v>
      </c>
      <c r="G357" s="64" t="s">
        <v>30</v>
      </c>
      <c r="H357" s="21">
        <f t="shared" si="47"/>
        <v>0</v>
      </c>
      <c r="I357" s="21"/>
      <c r="J357" s="21"/>
      <c r="K357" s="145">
        <v>0</v>
      </c>
      <c r="L357" s="145">
        <v>0</v>
      </c>
      <c r="M357" s="145">
        <v>0</v>
      </c>
      <c r="N357" s="145">
        <f t="shared" si="48"/>
        <v>0</v>
      </c>
    </row>
    <row r="358" spans="1:14" ht="18" customHeight="1" x14ac:dyDescent="0.25">
      <c r="A358" s="151"/>
      <c r="B358" s="64"/>
      <c r="C358" s="64"/>
      <c r="D358" s="64"/>
      <c r="E358" s="64"/>
      <c r="F358" s="71" t="s">
        <v>547</v>
      </c>
      <c r="G358" s="64" t="s">
        <v>40</v>
      </c>
      <c r="H358" s="21">
        <f t="shared" si="47"/>
        <v>13039.2</v>
      </c>
      <c r="I358" s="21">
        <v>13039.2</v>
      </c>
      <c r="J358" s="21"/>
      <c r="K358" s="145">
        <v>3104.5714285714289</v>
      </c>
      <c r="L358" s="145">
        <v>6260.885714285715</v>
      </c>
      <c r="M358" s="145">
        <v>9675.914285714287</v>
      </c>
      <c r="N358" s="145">
        <f t="shared" si="48"/>
        <v>13039.2</v>
      </c>
    </row>
    <row r="359" spans="1:14" ht="18" customHeight="1" x14ac:dyDescent="0.25">
      <c r="A359" s="151"/>
      <c r="B359" s="64"/>
      <c r="C359" s="64"/>
      <c r="D359" s="64"/>
      <c r="E359" s="64"/>
      <c r="F359" s="71" t="s">
        <v>478</v>
      </c>
      <c r="G359" s="64" t="s">
        <v>82</v>
      </c>
      <c r="H359" s="21">
        <f t="shared" si="47"/>
        <v>1700</v>
      </c>
      <c r="I359" s="21">
        <v>1700</v>
      </c>
      <c r="J359" s="21"/>
      <c r="K359" s="145">
        <v>404.76190476190476</v>
      </c>
      <c r="L359" s="145">
        <v>816.26984126984132</v>
      </c>
      <c r="M359" s="145">
        <v>1261.5079365079366</v>
      </c>
      <c r="N359" s="145">
        <f t="shared" si="48"/>
        <v>1700</v>
      </c>
    </row>
    <row r="360" spans="1:14" ht="18" customHeight="1" x14ac:dyDescent="0.25">
      <c r="A360" s="151"/>
      <c r="B360" s="64"/>
      <c r="C360" s="64"/>
      <c r="D360" s="64"/>
      <c r="E360" s="64"/>
      <c r="F360" s="71" t="s">
        <v>750</v>
      </c>
      <c r="G360" s="64" t="s">
        <v>29</v>
      </c>
      <c r="H360" s="21">
        <f t="shared" ref="H360:H367" si="49">SUM(I360:J360)</f>
        <v>0</v>
      </c>
      <c r="I360" s="21"/>
      <c r="J360" s="21"/>
      <c r="K360" s="145">
        <v>0</v>
      </c>
      <c r="L360" s="145">
        <v>0</v>
      </c>
      <c r="M360" s="145">
        <v>0</v>
      </c>
      <c r="N360" s="145">
        <f t="shared" si="48"/>
        <v>0</v>
      </c>
    </row>
    <row r="361" spans="1:14" ht="18" customHeight="1" x14ac:dyDescent="0.25">
      <c r="A361" s="151"/>
      <c r="B361" s="64"/>
      <c r="C361" s="64"/>
      <c r="D361" s="64"/>
      <c r="E361" s="64"/>
      <c r="F361" s="71" t="s">
        <v>541</v>
      </c>
      <c r="G361" s="64" t="s">
        <v>41</v>
      </c>
      <c r="H361" s="21">
        <f t="shared" si="49"/>
        <v>351</v>
      </c>
      <c r="I361" s="21">
        <v>351</v>
      </c>
      <c r="J361" s="21"/>
      <c r="K361" s="145">
        <v>83.571428571428569</v>
      </c>
      <c r="L361" s="145">
        <v>168.53571428571428</v>
      </c>
      <c r="M361" s="145">
        <v>260.46428571428572</v>
      </c>
      <c r="N361" s="145">
        <f t="shared" si="48"/>
        <v>351</v>
      </c>
    </row>
    <row r="362" spans="1:14" ht="27" x14ac:dyDescent="0.25">
      <c r="A362" s="151"/>
      <c r="B362" s="64"/>
      <c r="C362" s="64"/>
      <c r="D362" s="64"/>
      <c r="E362" s="64"/>
      <c r="F362" s="71" t="s">
        <v>411</v>
      </c>
      <c r="G362" s="64">
        <v>4252</v>
      </c>
      <c r="H362" s="21">
        <f t="shared" si="49"/>
        <v>3287</v>
      </c>
      <c r="I362" s="21">
        <v>3287</v>
      </c>
      <c r="J362" s="21"/>
      <c r="K362" s="145">
        <v>782.61904761904771</v>
      </c>
      <c r="L362" s="145">
        <v>1578.281746031746</v>
      </c>
      <c r="M362" s="145">
        <v>2439.1626984126988</v>
      </c>
      <c r="N362" s="145">
        <f t="shared" si="48"/>
        <v>3287</v>
      </c>
    </row>
    <row r="363" spans="1:14" x14ac:dyDescent="0.25">
      <c r="A363" s="151"/>
      <c r="B363" s="64"/>
      <c r="C363" s="64"/>
      <c r="D363" s="64"/>
      <c r="E363" s="64"/>
      <c r="F363" s="212" t="s">
        <v>413</v>
      </c>
      <c r="G363" s="64" t="s">
        <v>44</v>
      </c>
      <c r="H363" s="21">
        <f t="shared" si="49"/>
        <v>560</v>
      </c>
      <c r="I363" s="21">
        <v>560</v>
      </c>
      <c r="J363" s="21"/>
      <c r="K363" s="145">
        <v>133.33333333333334</v>
      </c>
      <c r="L363" s="145">
        <v>268.88888888888891</v>
      </c>
      <c r="M363" s="145">
        <v>415.5555555555556</v>
      </c>
      <c r="N363" s="145">
        <f t="shared" si="48"/>
        <v>560</v>
      </c>
    </row>
    <row r="364" spans="1:14" ht="15.75" customHeight="1" x14ac:dyDescent="0.25">
      <c r="A364" s="151"/>
      <c r="B364" s="64"/>
      <c r="C364" s="64"/>
      <c r="D364" s="64"/>
      <c r="E364" s="64"/>
      <c r="F364" s="71" t="s">
        <v>574</v>
      </c>
      <c r="G364" s="64">
        <v>4264</v>
      </c>
      <c r="H364" s="21">
        <f t="shared" si="49"/>
        <v>102137.3</v>
      </c>
      <c r="I364" s="21">
        <f>97627.3+4510</f>
        <v>102137.3</v>
      </c>
      <c r="J364" s="21"/>
      <c r="K364" s="145">
        <v>28828.404761904763</v>
      </c>
      <c r="L364" s="145">
        <v>53552.116269841274</v>
      </c>
      <c r="M364" s="145">
        <v>80302.361507936512</v>
      </c>
      <c r="N364" s="145">
        <f t="shared" si="48"/>
        <v>102137.3</v>
      </c>
    </row>
    <row r="365" spans="1:14" x14ac:dyDescent="0.25">
      <c r="A365" s="151"/>
      <c r="B365" s="64"/>
      <c r="C365" s="64"/>
      <c r="D365" s="64"/>
      <c r="E365" s="64"/>
      <c r="F365" s="71" t="s">
        <v>591</v>
      </c>
      <c r="G365" s="64" t="s">
        <v>51</v>
      </c>
      <c r="H365" s="21">
        <f t="shared" si="49"/>
        <v>10116.700000000001</v>
      </c>
      <c r="I365" s="21">
        <f>10000+116.7</f>
        <v>10116.700000000001</v>
      </c>
      <c r="J365" s="21"/>
      <c r="K365" s="145">
        <v>2525.4380952380952</v>
      </c>
      <c r="L365" s="145">
        <v>4974.3218253968262</v>
      </c>
      <c r="M365" s="145">
        <v>7623.9337301587311</v>
      </c>
      <c r="N365" s="145">
        <f t="shared" si="48"/>
        <v>10116.700000000001</v>
      </c>
    </row>
    <row r="366" spans="1:14" x14ac:dyDescent="0.25">
      <c r="A366" s="151"/>
      <c r="B366" s="64"/>
      <c r="C366" s="64"/>
      <c r="D366" s="64"/>
      <c r="E366" s="64"/>
      <c r="F366" s="71" t="s">
        <v>175</v>
      </c>
      <c r="G366" s="64">
        <v>5122</v>
      </c>
      <c r="H366" s="21">
        <f t="shared" si="49"/>
        <v>1000</v>
      </c>
      <c r="I366" s="21"/>
      <c r="J366" s="21">
        <v>1000</v>
      </c>
      <c r="K366" s="145">
        <v>238.0952380952381</v>
      </c>
      <c r="L366" s="145">
        <v>480.15873015873018</v>
      </c>
      <c r="M366" s="145">
        <v>742.06349206349205</v>
      </c>
      <c r="N366" s="145">
        <f t="shared" si="48"/>
        <v>1000</v>
      </c>
    </row>
    <row r="367" spans="1:14" x14ac:dyDescent="0.25">
      <c r="A367" s="151"/>
      <c r="B367" s="64"/>
      <c r="C367" s="64"/>
      <c r="D367" s="64"/>
      <c r="E367" s="64"/>
      <c r="F367" s="71" t="s">
        <v>549</v>
      </c>
      <c r="G367" s="64">
        <v>5129</v>
      </c>
      <c r="H367" s="21">
        <f t="shared" si="49"/>
        <v>1000</v>
      </c>
      <c r="I367" s="21"/>
      <c r="J367" s="21">
        <v>1000</v>
      </c>
      <c r="K367" s="145">
        <v>238.0952380952381</v>
      </c>
      <c r="L367" s="145">
        <v>480.15873015873018</v>
      </c>
      <c r="M367" s="145">
        <v>742.06349206349205</v>
      </c>
      <c r="N367" s="145">
        <f t="shared" si="48"/>
        <v>1000</v>
      </c>
    </row>
    <row r="368" spans="1:14" x14ac:dyDescent="0.25">
      <c r="A368" s="151"/>
      <c r="B368" s="64">
        <v>2520</v>
      </c>
      <c r="C368" s="64" t="s">
        <v>10</v>
      </c>
      <c r="D368" s="64">
        <v>2</v>
      </c>
      <c r="E368" s="64">
        <v>0</v>
      </c>
      <c r="F368" s="71" t="s">
        <v>277</v>
      </c>
      <c r="G368" s="64"/>
      <c r="H368" s="21"/>
      <c r="I368" s="21"/>
      <c r="J368" s="21"/>
      <c r="K368" s="21"/>
      <c r="L368" s="21"/>
      <c r="M368" s="21"/>
      <c r="N368" s="21"/>
    </row>
    <row r="369" spans="1:14" ht="56.25" customHeight="1" x14ac:dyDescent="0.25">
      <c r="A369" s="151"/>
      <c r="B369" s="64"/>
      <c r="C369" s="64"/>
      <c r="D369" s="64"/>
      <c r="E369" s="64"/>
      <c r="F369" s="71" t="s">
        <v>156</v>
      </c>
      <c r="G369" s="64"/>
      <c r="H369" s="21"/>
      <c r="I369" s="21"/>
      <c r="J369" s="21"/>
      <c r="K369" s="21"/>
      <c r="L369" s="21"/>
      <c r="M369" s="21"/>
      <c r="N369" s="21"/>
    </row>
    <row r="370" spans="1:14" x14ac:dyDescent="0.25">
      <c r="A370" s="151"/>
      <c r="B370" s="64">
        <v>2521</v>
      </c>
      <c r="C370" s="64" t="s">
        <v>10</v>
      </c>
      <c r="D370" s="64">
        <v>2</v>
      </c>
      <c r="E370" s="64">
        <v>1</v>
      </c>
      <c r="F370" s="71" t="s">
        <v>278</v>
      </c>
      <c r="G370" s="64"/>
      <c r="H370" s="21"/>
      <c r="I370" s="21"/>
      <c r="J370" s="21"/>
      <c r="K370" s="21"/>
      <c r="L370" s="21"/>
      <c r="M370" s="21"/>
      <c r="N370" s="21"/>
    </row>
    <row r="371" spans="1:14" ht="40.5" x14ac:dyDescent="0.25">
      <c r="A371" s="151"/>
      <c r="B371" s="64"/>
      <c r="C371" s="64"/>
      <c r="D371" s="64"/>
      <c r="E371" s="64"/>
      <c r="F371" s="71" t="s">
        <v>177</v>
      </c>
      <c r="G371" s="64"/>
      <c r="H371" s="21"/>
      <c r="I371" s="21"/>
      <c r="J371" s="21"/>
      <c r="K371" s="21"/>
      <c r="L371" s="21"/>
      <c r="M371" s="21"/>
      <c r="N371" s="21"/>
    </row>
    <row r="372" spans="1:14" ht="22.5" customHeight="1" x14ac:dyDescent="0.25">
      <c r="A372" s="151"/>
      <c r="B372" s="64"/>
      <c r="C372" s="64"/>
      <c r="D372" s="64"/>
      <c r="E372" s="64"/>
      <c r="F372" s="71" t="s">
        <v>178</v>
      </c>
      <c r="G372" s="64"/>
      <c r="H372" s="21"/>
      <c r="I372" s="21"/>
      <c r="J372" s="21"/>
      <c r="K372" s="21"/>
      <c r="L372" s="21"/>
      <c r="M372" s="21"/>
      <c r="N372" s="21"/>
    </row>
    <row r="373" spans="1:14" x14ac:dyDescent="0.25">
      <c r="A373" s="151"/>
      <c r="B373" s="64"/>
      <c r="C373" s="64"/>
      <c r="D373" s="64"/>
      <c r="E373" s="64"/>
      <c r="F373" s="71" t="s">
        <v>178</v>
      </c>
      <c r="G373" s="64"/>
      <c r="H373" s="21"/>
      <c r="I373" s="21"/>
      <c r="J373" s="21"/>
      <c r="K373" s="21"/>
      <c r="L373" s="21"/>
      <c r="M373" s="21"/>
      <c r="N373" s="21"/>
    </row>
    <row r="374" spans="1:14" ht="21.75" customHeight="1" x14ac:dyDescent="0.25">
      <c r="A374" s="151"/>
      <c r="B374" s="64">
        <v>2530</v>
      </c>
      <c r="C374" s="64" t="s">
        <v>10</v>
      </c>
      <c r="D374" s="64">
        <v>3</v>
      </c>
      <c r="E374" s="64">
        <v>0</v>
      </c>
      <c r="F374" s="71" t="s">
        <v>279</v>
      </c>
      <c r="G374" s="64"/>
      <c r="H374" s="21"/>
      <c r="I374" s="21"/>
      <c r="J374" s="21"/>
      <c r="K374" s="21"/>
      <c r="L374" s="21"/>
      <c r="M374" s="21"/>
      <c r="N374" s="21"/>
    </row>
    <row r="375" spans="1:14" ht="54.75" customHeight="1" x14ac:dyDescent="0.25">
      <c r="A375" s="151"/>
      <c r="B375" s="64"/>
      <c r="C375" s="64"/>
      <c r="D375" s="64"/>
      <c r="E375" s="64"/>
      <c r="F375" s="71" t="s">
        <v>156</v>
      </c>
      <c r="G375" s="64"/>
      <c r="H375" s="21"/>
      <c r="I375" s="21"/>
      <c r="J375" s="21"/>
      <c r="K375" s="21"/>
      <c r="L375" s="21"/>
      <c r="M375" s="21"/>
      <c r="N375" s="21"/>
    </row>
    <row r="376" spans="1:14" x14ac:dyDescent="0.25">
      <c r="A376" s="151"/>
      <c r="B376" s="64">
        <v>2531</v>
      </c>
      <c r="C376" s="64" t="s">
        <v>10</v>
      </c>
      <c r="D376" s="64">
        <v>3</v>
      </c>
      <c r="E376" s="64">
        <v>1</v>
      </c>
      <c r="F376" s="71" t="s">
        <v>279</v>
      </c>
      <c r="G376" s="64"/>
      <c r="H376" s="21"/>
      <c r="I376" s="21"/>
      <c r="J376" s="21"/>
      <c r="K376" s="21"/>
      <c r="L376" s="21"/>
      <c r="M376" s="21"/>
      <c r="N376" s="21"/>
    </row>
    <row r="377" spans="1:14" ht="40.5" x14ac:dyDescent="0.25">
      <c r="A377" s="151"/>
      <c r="B377" s="64"/>
      <c r="C377" s="64"/>
      <c r="D377" s="64"/>
      <c r="E377" s="64"/>
      <c r="F377" s="71" t="s">
        <v>177</v>
      </c>
      <c r="G377" s="64"/>
      <c r="H377" s="21"/>
      <c r="I377" s="21"/>
      <c r="J377" s="21"/>
      <c r="K377" s="21"/>
      <c r="L377" s="21"/>
      <c r="M377" s="21"/>
      <c r="N377" s="21"/>
    </row>
    <row r="378" spans="1:14" ht="38.25" customHeight="1" x14ac:dyDescent="0.25">
      <c r="A378" s="151"/>
      <c r="B378" s="64"/>
      <c r="C378" s="64"/>
      <c r="D378" s="64"/>
      <c r="E378" s="64"/>
      <c r="F378" s="71" t="s">
        <v>178</v>
      </c>
      <c r="G378" s="64"/>
      <c r="H378" s="21"/>
      <c r="I378" s="21"/>
      <c r="J378" s="21"/>
      <c r="K378" s="21"/>
      <c r="L378" s="21"/>
      <c r="M378" s="21"/>
      <c r="N378" s="21"/>
    </row>
    <row r="379" spans="1:14" x14ac:dyDescent="0.25">
      <c r="A379" s="151"/>
      <c r="B379" s="64"/>
      <c r="C379" s="64"/>
      <c r="D379" s="64"/>
      <c r="E379" s="64"/>
      <c r="F379" s="71" t="s">
        <v>178</v>
      </c>
      <c r="G379" s="64"/>
      <c r="H379" s="21"/>
      <c r="I379" s="21"/>
      <c r="J379" s="21"/>
      <c r="K379" s="21"/>
      <c r="L379" s="21"/>
      <c r="M379" s="21"/>
      <c r="N379" s="21"/>
    </row>
    <row r="380" spans="1:14" ht="38.25" customHeight="1" x14ac:dyDescent="0.25">
      <c r="A380" s="151"/>
      <c r="B380" s="64">
        <v>2540</v>
      </c>
      <c r="C380" s="64" t="s">
        <v>10</v>
      </c>
      <c r="D380" s="64">
        <v>4</v>
      </c>
      <c r="E380" s="64">
        <v>0</v>
      </c>
      <c r="F380" s="71" t="s">
        <v>280</v>
      </c>
      <c r="G380" s="64"/>
      <c r="H380" s="21"/>
      <c r="I380" s="21"/>
      <c r="J380" s="21"/>
      <c r="K380" s="21"/>
      <c r="L380" s="21"/>
      <c r="M380" s="21"/>
      <c r="N380" s="21"/>
    </row>
    <row r="381" spans="1:14" ht="50.25" customHeight="1" x14ac:dyDescent="0.25">
      <c r="A381" s="151"/>
      <c r="B381" s="64"/>
      <c r="C381" s="64"/>
      <c r="D381" s="64"/>
      <c r="E381" s="64"/>
      <c r="F381" s="71" t="s">
        <v>156</v>
      </c>
      <c r="G381" s="64"/>
      <c r="H381" s="21"/>
      <c r="I381" s="21"/>
      <c r="J381" s="21"/>
      <c r="K381" s="21"/>
      <c r="L381" s="21"/>
      <c r="M381" s="21"/>
      <c r="N381" s="21"/>
    </row>
    <row r="382" spans="1:14" ht="27" x14ac:dyDescent="0.25">
      <c r="A382" s="151"/>
      <c r="B382" s="64">
        <v>2541</v>
      </c>
      <c r="C382" s="64" t="s">
        <v>10</v>
      </c>
      <c r="D382" s="64">
        <v>4</v>
      </c>
      <c r="E382" s="64">
        <v>1</v>
      </c>
      <c r="F382" s="71" t="s">
        <v>280</v>
      </c>
      <c r="G382" s="64"/>
      <c r="H382" s="21"/>
      <c r="I382" s="21"/>
      <c r="J382" s="21"/>
      <c r="K382" s="21"/>
      <c r="L382" s="21"/>
      <c r="M382" s="21"/>
      <c r="N382" s="21"/>
    </row>
    <row r="383" spans="1:14" ht="40.5" x14ac:dyDescent="0.25">
      <c r="A383" s="151"/>
      <c r="B383" s="64"/>
      <c r="C383" s="64"/>
      <c r="D383" s="64"/>
      <c r="E383" s="64"/>
      <c r="F383" s="71" t="s">
        <v>177</v>
      </c>
      <c r="G383" s="64"/>
      <c r="H383" s="21"/>
      <c r="I383" s="21"/>
      <c r="J383" s="21"/>
      <c r="K383" s="21"/>
      <c r="L383" s="21"/>
      <c r="M383" s="21"/>
      <c r="N383" s="21"/>
    </row>
    <row r="384" spans="1:14" ht="51" customHeight="1" x14ac:dyDescent="0.25">
      <c r="A384" s="151"/>
      <c r="B384" s="64"/>
      <c r="C384" s="64"/>
      <c r="D384" s="64"/>
      <c r="E384" s="64"/>
      <c r="F384" s="71" t="s">
        <v>178</v>
      </c>
      <c r="G384" s="64"/>
      <c r="H384" s="21"/>
      <c r="I384" s="21"/>
      <c r="J384" s="21"/>
      <c r="K384" s="21"/>
      <c r="L384" s="21"/>
      <c r="M384" s="21"/>
      <c r="N384" s="21"/>
    </row>
    <row r="385" spans="1:14" x14ac:dyDescent="0.25">
      <c r="A385" s="151"/>
      <c r="B385" s="64"/>
      <c r="C385" s="64"/>
      <c r="D385" s="64"/>
      <c r="E385" s="64"/>
      <c r="F385" s="71" t="s">
        <v>178</v>
      </c>
      <c r="G385" s="64"/>
      <c r="H385" s="21"/>
      <c r="I385" s="21"/>
      <c r="J385" s="21"/>
      <c r="K385" s="21"/>
      <c r="L385" s="21"/>
      <c r="M385" s="21"/>
      <c r="N385" s="21"/>
    </row>
    <row r="386" spans="1:14" ht="27" x14ac:dyDescent="0.25">
      <c r="A386" s="151"/>
      <c r="B386" s="64">
        <v>2550</v>
      </c>
      <c r="C386" s="64" t="s">
        <v>10</v>
      </c>
      <c r="D386" s="64">
        <v>5</v>
      </c>
      <c r="E386" s="64">
        <v>0</v>
      </c>
      <c r="F386" s="71" t="s">
        <v>281</v>
      </c>
      <c r="G386" s="64"/>
      <c r="H386" s="21"/>
      <c r="I386" s="21"/>
      <c r="J386" s="21"/>
      <c r="K386" s="21"/>
      <c r="L386" s="21"/>
      <c r="M386" s="21"/>
      <c r="N386" s="21"/>
    </row>
    <row r="387" spans="1:14" ht="56.25" customHeight="1" x14ac:dyDescent="0.25">
      <c r="A387" s="151"/>
      <c r="B387" s="64"/>
      <c r="C387" s="64"/>
      <c r="D387" s="64"/>
      <c r="E387" s="64"/>
      <c r="F387" s="71" t="s">
        <v>156</v>
      </c>
      <c r="G387" s="64"/>
      <c r="H387" s="21"/>
      <c r="I387" s="21"/>
      <c r="J387" s="21"/>
      <c r="K387" s="21"/>
      <c r="L387" s="21"/>
      <c r="M387" s="21"/>
      <c r="N387" s="21"/>
    </row>
    <row r="388" spans="1:14" ht="27" x14ac:dyDescent="0.25">
      <c r="A388" s="151"/>
      <c r="B388" s="64">
        <v>2551</v>
      </c>
      <c r="C388" s="64" t="s">
        <v>10</v>
      </c>
      <c r="D388" s="64">
        <v>5</v>
      </c>
      <c r="E388" s="64">
        <v>1</v>
      </c>
      <c r="F388" s="71" t="s">
        <v>281</v>
      </c>
      <c r="G388" s="64"/>
      <c r="H388" s="21"/>
      <c r="I388" s="21"/>
      <c r="J388" s="21"/>
      <c r="K388" s="21"/>
      <c r="L388" s="21"/>
      <c r="M388" s="21"/>
      <c r="N388" s="21"/>
    </row>
    <row r="389" spans="1:14" ht="40.5" x14ac:dyDescent="0.25">
      <c r="A389" s="151"/>
      <c r="B389" s="64"/>
      <c r="C389" s="64"/>
      <c r="D389" s="64"/>
      <c r="E389" s="64"/>
      <c r="F389" s="71" t="s">
        <v>177</v>
      </c>
      <c r="G389" s="64"/>
      <c r="H389" s="21"/>
      <c r="I389" s="21"/>
      <c r="J389" s="21"/>
      <c r="K389" s="21"/>
      <c r="L389" s="21"/>
      <c r="M389" s="21"/>
      <c r="N389" s="21"/>
    </row>
    <row r="390" spans="1:14" ht="36.75" customHeight="1" x14ac:dyDescent="0.25">
      <c r="A390" s="151"/>
      <c r="B390" s="64"/>
      <c r="C390" s="64"/>
      <c r="D390" s="64"/>
      <c r="E390" s="64"/>
      <c r="F390" s="71" t="s">
        <v>178</v>
      </c>
      <c r="G390" s="64"/>
      <c r="H390" s="21"/>
      <c r="I390" s="21"/>
      <c r="J390" s="21"/>
      <c r="K390" s="21"/>
      <c r="L390" s="21"/>
      <c r="M390" s="21"/>
      <c r="N390" s="21"/>
    </row>
    <row r="391" spans="1:14" x14ac:dyDescent="0.25">
      <c r="A391" s="151"/>
      <c r="B391" s="64"/>
      <c r="C391" s="64"/>
      <c r="D391" s="64"/>
      <c r="E391" s="64"/>
      <c r="F391" s="71" t="s">
        <v>178</v>
      </c>
      <c r="G391" s="64"/>
      <c r="H391" s="21"/>
      <c r="I391" s="21"/>
      <c r="J391" s="21"/>
      <c r="K391" s="21"/>
      <c r="L391" s="21"/>
      <c r="M391" s="21"/>
      <c r="N391" s="21"/>
    </row>
    <row r="392" spans="1:14" ht="42.75" customHeight="1" x14ac:dyDescent="0.25">
      <c r="A392" s="151"/>
      <c r="B392" s="64">
        <v>2560</v>
      </c>
      <c r="C392" s="64" t="s">
        <v>10</v>
      </c>
      <c r="D392" s="64">
        <v>6</v>
      </c>
      <c r="E392" s="64">
        <v>0</v>
      </c>
      <c r="F392" s="71" t="s">
        <v>282</v>
      </c>
      <c r="G392" s="64"/>
      <c r="H392" s="21">
        <f t="shared" ref="H392:N392" si="50">H394</f>
        <v>331931.19200000004</v>
      </c>
      <c r="I392" s="21">
        <f t="shared" si="50"/>
        <v>197775.64300000001</v>
      </c>
      <c r="J392" s="21">
        <f t="shared" si="50"/>
        <v>134155.549</v>
      </c>
      <c r="K392" s="21">
        <f t="shared" si="50"/>
        <v>154957.19295199998</v>
      </c>
      <c r="L392" s="21">
        <f t="shared" si="50"/>
        <v>214348.96958730154</v>
      </c>
      <c r="M392" s="21">
        <f t="shared" si="50"/>
        <v>272646.29447619052</v>
      </c>
      <c r="N392" s="21">
        <f t="shared" si="50"/>
        <v>331931.19200000004</v>
      </c>
    </row>
    <row r="393" spans="1:14" ht="53.25" customHeight="1" x14ac:dyDescent="0.25">
      <c r="A393" s="151"/>
      <c r="B393" s="64"/>
      <c r="C393" s="64"/>
      <c r="D393" s="64"/>
      <c r="E393" s="64"/>
      <c r="F393" s="71" t="s">
        <v>156</v>
      </c>
      <c r="G393" s="64"/>
      <c r="H393" s="21"/>
      <c r="I393" s="21"/>
      <c r="J393" s="21"/>
      <c r="K393" s="21"/>
      <c r="L393" s="21"/>
      <c r="M393" s="21"/>
      <c r="N393" s="21"/>
    </row>
    <row r="394" spans="1:14" ht="26.25" customHeight="1" x14ac:dyDescent="0.25">
      <c r="A394" s="151"/>
      <c r="B394" s="64">
        <v>2561</v>
      </c>
      <c r="C394" s="64" t="s">
        <v>10</v>
      </c>
      <c r="D394" s="64">
        <v>6</v>
      </c>
      <c r="E394" s="64">
        <v>1</v>
      </c>
      <c r="F394" s="71" t="s">
        <v>282</v>
      </c>
      <c r="G394" s="64"/>
      <c r="H394" s="21">
        <f>SUM(H396:H406)</f>
        <v>331931.19200000004</v>
      </c>
      <c r="I394" s="21">
        <f t="shared" ref="I394:J394" si="51">SUM(I396:I406)</f>
        <v>197775.64300000001</v>
      </c>
      <c r="J394" s="21">
        <f t="shared" si="51"/>
        <v>134155.549</v>
      </c>
      <c r="K394" s="21">
        <f t="shared" ref="K394:N394" si="52">SUM(K396:K406)</f>
        <v>154957.19295199998</v>
      </c>
      <c r="L394" s="21">
        <f t="shared" si="52"/>
        <v>214348.96958730154</v>
      </c>
      <c r="M394" s="21">
        <f t="shared" si="52"/>
        <v>272646.29447619052</v>
      </c>
      <c r="N394" s="21">
        <f t="shared" si="52"/>
        <v>331931.19200000004</v>
      </c>
    </row>
    <row r="395" spans="1:14" ht="16.5" customHeight="1" x14ac:dyDescent="0.25">
      <c r="A395" s="151"/>
      <c r="B395" s="64"/>
      <c r="C395" s="64"/>
      <c r="D395" s="64"/>
      <c r="E395" s="64"/>
      <c r="F395" s="71" t="s">
        <v>177</v>
      </c>
      <c r="G395" s="64"/>
      <c r="H395" s="21"/>
      <c r="I395" s="21"/>
      <c r="J395" s="21"/>
      <c r="K395" s="21"/>
      <c r="L395" s="21"/>
      <c r="M395" s="21"/>
      <c r="N395" s="21"/>
    </row>
    <row r="396" spans="1:14" ht="27" x14ac:dyDescent="0.25">
      <c r="A396" s="151"/>
      <c r="B396" s="64"/>
      <c r="C396" s="64"/>
      <c r="D396" s="64"/>
      <c r="E396" s="64"/>
      <c r="F396" s="71" t="s">
        <v>158</v>
      </c>
      <c r="G396" s="64" t="s">
        <v>20</v>
      </c>
      <c r="H396" s="21">
        <f t="shared" ref="H396:H405" si="53">SUM(I396:J396)</f>
        <v>130765.54</v>
      </c>
      <c r="I396" s="21">
        <f>130765.54</f>
        <v>130765.54</v>
      </c>
      <c r="J396" s="21"/>
      <c r="K396" s="145">
        <f>+H396/252*60</f>
        <v>31134.652380952379</v>
      </c>
      <c r="L396" s="145">
        <f>+H396/252*121</f>
        <v>62788.215634920634</v>
      </c>
      <c r="M396" s="145">
        <f>+H396/252*187</f>
        <v>97036.333253968245</v>
      </c>
      <c r="N396" s="145">
        <f t="shared" ref="N396:N406" si="54">+H396</f>
        <v>130765.54</v>
      </c>
    </row>
    <row r="397" spans="1:14" ht="21" customHeight="1" x14ac:dyDescent="0.25">
      <c r="A397" s="151"/>
      <c r="B397" s="64"/>
      <c r="C397" s="64"/>
      <c r="D397" s="64"/>
      <c r="E397" s="64"/>
      <c r="F397" s="71" t="s">
        <v>550</v>
      </c>
      <c r="G397" s="64">
        <v>4213</v>
      </c>
      <c r="H397" s="21">
        <f t="shared" si="53"/>
        <v>31971.753000000001</v>
      </c>
      <c r="I397" s="21">
        <f>30000+1971.753</f>
        <v>31971.753000000001</v>
      </c>
      <c r="J397" s="21"/>
      <c r="K397" s="145">
        <v>9584.0751428571439</v>
      </c>
      <c r="L397" s="145">
        <v>17323.269321428572</v>
      </c>
      <c r="M397" s="145">
        <v>25696.823678571429</v>
      </c>
      <c r="N397" s="145">
        <f t="shared" si="54"/>
        <v>31971.753000000001</v>
      </c>
    </row>
    <row r="398" spans="1:14" x14ac:dyDescent="0.25">
      <c r="A398" s="151"/>
      <c r="B398" s="64"/>
      <c r="C398" s="64"/>
      <c r="D398" s="64"/>
      <c r="E398" s="64"/>
      <c r="F398" s="71" t="s">
        <v>551</v>
      </c>
      <c r="G398" s="64">
        <v>4262</v>
      </c>
      <c r="H398" s="21">
        <f t="shared" si="53"/>
        <v>3500</v>
      </c>
      <c r="I398" s="21">
        <v>3500</v>
      </c>
      <c r="J398" s="21"/>
      <c r="K398" s="145">
        <v>833.33333333333337</v>
      </c>
      <c r="L398" s="145">
        <v>1680.5555555555557</v>
      </c>
      <c r="M398" s="145">
        <v>2597.2222222222222</v>
      </c>
      <c r="N398" s="145">
        <f t="shared" si="54"/>
        <v>3500</v>
      </c>
    </row>
    <row r="399" spans="1:14" ht="17.25" customHeight="1" x14ac:dyDescent="0.25">
      <c r="A399" s="151"/>
      <c r="B399" s="64"/>
      <c r="C399" s="64"/>
      <c r="D399" s="64"/>
      <c r="E399" s="64"/>
      <c r="F399" s="71" t="s">
        <v>574</v>
      </c>
      <c r="G399" s="64" t="s">
        <v>47</v>
      </c>
      <c r="H399" s="21">
        <f t="shared" si="53"/>
        <v>15211.85</v>
      </c>
      <c r="I399" s="21">
        <f>14862+349.85</f>
        <v>15211.85</v>
      </c>
      <c r="J399" s="21"/>
      <c r="K399" s="145">
        <v>3971.7190476190476</v>
      </c>
      <c r="L399" s="145">
        <v>7653.9525793650801</v>
      </c>
      <c r="M399" s="145">
        <v>11638.008531746033</v>
      </c>
      <c r="N399" s="145">
        <f t="shared" si="54"/>
        <v>15211.85</v>
      </c>
    </row>
    <row r="400" spans="1:14" x14ac:dyDescent="0.25">
      <c r="A400" s="151"/>
      <c r="B400" s="64"/>
      <c r="C400" s="64"/>
      <c r="D400" s="64"/>
      <c r="E400" s="64"/>
      <c r="F400" s="71" t="s">
        <v>591</v>
      </c>
      <c r="G400" s="64">
        <v>4269</v>
      </c>
      <c r="H400" s="21">
        <f t="shared" si="53"/>
        <v>5126.5</v>
      </c>
      <c r="I400" s="21">
        <f>5000+126.5</f>
        <v>5126.5</v>
      </c>
      <c r="J400" s="21"/>
      <c r="K400" s="145">
        <v>1347.0952380952381</v>
      </c>
      <c r="L400" s="145">
        <v>2588.0337301587301</v>
      </c>
      <c r="M400" s="145">
        <v>3930.688492063492</v>
      </c>
      <c r="N400" s="145">
        <f t="shared" si="54"/>
        <v>5126.5</v>
      </c>
    </row>
    <row r="401" spans="1:16" ht="27" x14ac:dyDescent="0.25">
      <c r="A401" s="151"/>
      <c r="B401" s="64"/>
      <c r="C401" s="64"/>
      <c r="D401" s="64"/>
      <c r="E401" s="64"/>
      <c r="F401" s="9" t="s">
        <v>410</v>
      </c>
      <c r="G401" s="54" t="s">
        <v>42</v>
      </c>
      <c r="H401" s="21">
        <f t="shared" si="53"/>
        <v>5000</v>
      </c>
      <c r="I401" s="21">
        <v>5000</v>
      </c>
      <c r="J401" s="21"/>
      <c r="K401" s="145">
        <v>1190.4761904761906</v>
      </c>
      <c r="L401" s="145">
        <v>2400.7936507936511</v>
      </c>
      <c r="M401" s="145">
        <v>3710.3174603174602</v>
      </c>
      <c r="N401" s="145">
        <f t="shared" ref="N401" si="55">+H401</f>
        <v>5000</v>
      </c>
    </row>
    <row r="402" spans="1:16" ht="27" x14ac:dyDescent="0.25">
      <c r="A402" s="151"/>
      <c r="B402" s="64"/>
      <c r="C402" s="64"/>
      <c r="D402" s="64"/>
      <c r="E402" s="64"/>
      <c r="F402" s="71" t="s">
        <v>582</v>
      </c>
      <c r="G402" s="64" t="s">
        <v>92</v>
      </c>
      <c r="H402" s="21">
        <f t="shared" si="53"/>
        <v>120285.66899999999</v>
      </c>
      <c r="I402" s="21"/>
      <c r="J402" s="21">
        <f>9800+1515.949+11000+17969.72+80000</f>
        <v>120285.66899999999</v>
      </c>
      <c r="K402" s="145">
        <f>9800+11107.774952+80000</f>
        <v>100907.77495200001</v>
      </c>
      <c r="L402" s="145">
        <f>9800+20859.4646706349+80000</f>
        <v>110659.4646706349</v>
      </c>
      <c r="M402" s="145">
        <v>111210.473218254</v>
      </c>
      <c r="N402" s="145">
        <f t="shared" si="54"/>
        <v>120285.66899999999</v>
      </c>
      <c r="P402" s="151"/>
    </row>
    <row r="403" spans="1:16" x14ac:dyDescent="0.25">
      <c r="A403" s="151"/>
      <c r="B403" s="64"/>
      <c r="C403" s="64"/>
      <c r="D403" s="64"/>
      <c r="E403" s="64"/>
      <c r="F403" s="71" t="s">
        <v>592</v>
      </c>
      <c r="G403" s="64">
        <v>5131</v>
      </c>
      <c r="H403" s="21">
        <f t="shared" si="53"/>
        <v>7150</v>
      </c>
      <c r="I403" s="21"/>
      <c r="J403" s="21">
        <v>7150</v>
      </c>
      <c r="K403" s="145">
        <v>1702.3809523809523</v>
      </c>
      <c r="L403" s="145">
        <v>3433.1349206349205</v>
      </c>
      <c r="M403" s="145">
        <v>5305.7539682539682</v>
      </c>
      <c r="N403" s="145">
        <f t="shared" si="54"/>
        <v>7150</v>
      </c>
    </row>
    <row r="404" spans="1:16" x14ac:dyDescent="0.25">
      <c r="A404" s="151"/>
      <c r="B404" s="64"/>
      <c r="C404" s="64"/>
      <c r="D404" s="64"/>
      <c r="E404" s="64"/>
      <c r="F404" s="71" t="s">
        <v>755</v>
      </c>
      <c r="G404" s="64" t="s">
        <v>99</v>
      </c>
      <c r="H404" s="21">
        <f t="shared" si="53"/>
        <v>5144.88</v>
      </c>
      <c r="I404" s="21"/>
      <c r="J404" s="21">
        <f>144.88+5000</f>
        <v>5144.88</v>
      </c>
      <c r="K404" s="145">
        <v>34.495238095238093</v>
      </c>
      <c r="L404" s="145">
        <v>69.565396825396832</v>
      </c>
      <c r="M404" s="145">
        <v>4144.88</v>
      </c>
      <c r="N404" s="145">
        <f t="shared" si="54"/>
        <v>5144.88</v>
      </c>
    </row>
    <row r="405" spans="1:16" x14ac:dyDescent="0.25">
      <c r="A405" s="151"/>
      <c r="B405" s="64"/>
      <c r="C405" s="64"/>
      <c r="D405" s="64"/>
      <c r="E405" s="64"/>
      <c r="F405" s="71" t="s">
        <v>857</v>
      </c>
      <c r="G405" s="64" t="s">
        <v>95</v>
      </c>
      <c r="H405" s="21">
        <f t="shared" si="53"/>
        <v>1575</v>
      </c>
      <c r="I405" s="21"/>
      <c r="J405" s="21">
        <f>1575</f>
        <v>1575</v>
      </c>
      <c r="K405" s="145">
        <v>1575</v>
      </c>
      <c r="L405" s="145">
        <v>1575</v>
      </c>
      <c r="M405" s="145">
        <v>1575</v>
      </c>
      <c r="N405" s="145">
        <f t="shared" ref="N405" si="56">+H405</f>
        <v>1575</v>
      </c>
    </row>
    <row r="406" spans="1:16" x14ac:dyDescent="0.25">
      <c r="A406" s="151"/>
      <c r="B406" s="64"/>
      <c r="C406" s="64"/>
      <c r="D406" s="64"/>
      <c r="E406" s="64"/>
      <c r="F406" s="71" t="s">
        <v>547</v>
      </c>
      <c r="G406" s="64" t="s">
        <v>40</v>
      </c>
      <c r="H406" s="21">
        <f t="shared" ref="H406" si="57">SUM(I406:J406)</f>
        <v>6200</v>
      </c>
      <c r="I406" s="21">
        <f>1200+5000</f>
        <v>6200</v>
      </c>
      <c r="J406" s="21"/>
      <c r="K406" s="145">
        <v>2676.1904761904761</v>
      </c>
      <c r="L406" s="145">
        <v>4176.9841269841272</v>
      </c>
      <c r="M406" s="145">
        <v>5800.7936507936511</v>
      </c>
      <c r="N406" s="145">
        <f t="shared" si="54"/>
        <v>6200</v>
      </c>
    </row>
    <row r="407" spans="1:16" ht="54" x14ac:dyDescent="0.25">
      <c r="A407" s="151"/>
      <c r="B407" s="64">
        <v>2600</v>
      </c>
      <c r="C407" s="64" t="s">
        <v>11</v>
      </c>
      <c r="D407" s="64">
        <v>0</v>
      </c>
      <c r="E407" s="64">
        <v>0</v>
      </c>
      <c r="F407" s="71" t="s">
        <v>283</v>
      </c>
      <c r="G407" s="64"/>
      <c r="H407" s="21">
        <f t="shared" ref="H407:N407" si="58">H409+H415+H421+H427+H438+H443</f>
        <v>1261778.0077999989</v>
      </c>
      <c r="I407" s="21">
        <f t="shared" si="58"/>
        <v>488037.978</v>
      </c>
      <c r="J407" s="21">
        <f t="shared" si="58"/>
        <v>773740.02979999885</v>
      </c>
      <c r="K407" s="21">
        <f t="shared" si="58"/>
        <v>606935.96132769086</v>
      </c>
      <c r="L407" s="21">
        <f t="shared" si="58"/>
        <v>889295.2311823417</v>
      </c>
      <c r="M407" s="21">
        <f t="shared" si="58"/>
        <v>1096914.4824730498</v>
      </c>
      <c r="N407" s="21">
        <f t="shared" si="58"/>
        <v>1261778.0077999989</v>
      </c>
    </row>
    <row r="408" spans="1:16" x14ac:dyDescent="0.25">
      <c r="A408" s="151"/>
      <c r="B408" s="64"/>
      <c r="C408" s="64"/>
      <c r="D408" s="64"/>
      <c r="E408" s="64"/>
      <c r="F408" s="71" t="s">
        <v>154</v>
      </c>
      <c r="G408" s="64"/>
      <c r="H408" s="21"/>
      <c r="I408" s="21"/>
      <c r="J408" s="21"/>
      <c r="K408" s="21"/>
      <c r="L408" s="21"/>
      <c r="M408" s="21"/>
      <c r="N408" s="21"/>
    </row>
    <row r="409" spans="1:16" x14ac:dyDescent="0.25">
      <c r="A409" s="151"/>
      <c r="B409" s="64">
        <v>2610</v>
      </c>
      <c r="C409" s="64" t="s">
        <v>11</v>
      </c>
      <c r="D409" s="64">
        <v>1</v>
      </c>
      <c r="E409" s="64">
        <v>0</v>
      </c>
      <c r="F409" s="71" t="s">
        <v>284</v>
      </c>
      <c r="G409" s="64"/>
      <c r="H409" s="21"/>
      <c r="I409" s="21"/>
      <c r="J409" s="21"/>
      <c r="K409" s="21"/>
      <c r="L409" s="21"/>
      <c r="M409" s="21"/>
      <c r="N409" s="21"/>
    </row>
    <row r="410" spans="1:16" ht="57" customHeight="1" x14ac:dyDescent="0.25">
      <c r="A410" s="151"/>
      <c r="B410" s="64"/>
      <c r="C410" s="64"/>
      <c r="D410" s="64"/>
      <c r="E410" s="64"/>
      <c r="F410" s="71" t="s">
        <v>156</v>
      </c>
      <c r="G410" s="64"/>
      <c r="H410" s="21"/>
      <c r="I410" s="21"/>
      <c r="J410" s="21"/>
      <c r="K410" s="21"/>
      <c r="L410" s="21"/>
      <c r="M410" s="21"/>
      <c r="N410" s="21"/>
    </row>
    <row r="411" spans="1:16" x14ac:dyDescent="0.25">
      <c r="A411" s="151"/>
      <c r="B411" s="64">
        <v>2611</v>
      </c>
      <c r="C411" s="64" t="s">
        <v>11</v>
      </c>
      <c r="D411" s="64">
        <v>1</v>
      </c>
      <c r="E411" s="64">
        <v>1</v>
      </c>
      <c r="F411" s="71" t="s">
        <v>285</v>
      </c>
      <c r="G411" s="64"/>
      <c r="H411" s="21"/>
      <c r="I411" s="21"/>
      <c r="J411" s="21"/>
      <c r="K411" s="21"/>
      <c r="L411" s="21"/>
      <c r="M411" s="21"/>
      <c r="N411" s="21"/>
    </row>
    <row r="412" spans="1:16" ht="40.5" x14ac:dyDescent="0.25">
      <c r="A412" s="151"/>
      <c r="B412" s="64"/>
      <c r="C412" s="64"/>
      <c r="D412" s="64"/>
      <c r="E412" s="64"/>
      <c r="F412" s="71" t="s">
        <v>177</v>
      </c>
      <c r="G412" s="64"/>
      <c r="H412" s="21"/>
      <c r="I412" s="21"/>
      <c r="J412" s="21"/>
      <c r="K412" s="21"/>
      <c r="L412" s="21"/>
      <c r="M412" s="21"/>
      <c r="N412" s="21"/>
    </row>
    <row r="413" spans="1:16" x14ac:dyDescent="0.25">
      <c r="A413" s="151"/>
      <c r="B413" s="64"/>
      <c r="C413" s="64"/>
      <c r="D413" s="64"/>
      <c r="E413" s="64"/>
      <c r="F413" s="71" t="s">
        <v>178</v>
      </c>
      <c r="G413" s="64"/>
      <c r="H413" s="21"/>
      <c r="I413" s="21"/>
      <c r="J413" s="21"/>
      <c r="K413" s="21"/>
      <c r="L413" s="21"/>
      <c r="M413" s="21"/>
      <c r="N413" s="21"/>
    </row>
    <row r="414" spans="1:16" x14ac:dyDescent="0.25">
      <c r="A414" s="151"/>
      <c r="B414" s="64"/>
      <c r="C414" s="64"/>
      <c r="D414" s="64"/>
      <c r="E414" s="64"/>
      <c r="F414" s="71" t="s">
        <v>178</v>
      </c>
      <c r="G414" s="64"/>
      <c r="H414" s="21"/>
      <c r="I414" s="21"/>
      <c r="J414" s="21"/>
      <c r="K414" s="21"/>
      <c r="L414" s="21"/>
      <c r="M414" s="21"/>
      <c r="N414" s="21"/>
    </row>
    <row r="415" spans="1:16" x14ac:dyDescent="0.25">
      <c r="A415" s="151"/>
      <c r="B415" s="64">
        <v>2620</v>
      </c>
      <c r="C415" s="64" t="s">
        <v>11</v>
      </c>
      <c r="D415" s="64">
        <v>2</v>
      </c>
      <c r="E415" s="64">
        <v>0</v>
      </c>
      <c r="F415" s="71" t="s">
        <v>286</v>
      </c>
      <c r="G415" s="64"/>
      <c r="H415" s="21"/>
      <c r="I415" s="21"/>
      <c r="J415" s="21"/>
      <c r="K415" s="21"/>
      <c r="L415" s="21"/>
      <c r="M415" s="21"/>
      <c r="N415" s="21"/>
    </row>
    <row r="416" spans="1:16" ht="60.75" customHeight="1" x14ac:dyDescent="0.25">
      <c r="A416" s="151"/>
      <c r="B416" s="64"/>
      <c r="C416" s="64"/>
      <c r="D416" s="64"/>
      <c r="E416" s="64"/>
      <c r="F416" s="71" t="s">
        <v>156</v>
      </c>
      <c r="G416" s="64"/>
      <c r="H416" s="21"/>
      <c r="I416" s="21"/>
      <c r="J416" s="21"/>
      <c r="K416" s="21"/>
      <c r="L416" s="21"/>
      <c r="M416" s="21"/>
      <c r="N416" s="21"/>
    </row>
    <row r="417" spans="1:14" x14ac:dyDescent="0.25">
      <c r="A417" s="151"/>
      <c r="B417" s="64">
        <v>2621</v>
      </c>
      <c r="C417" s="64" t="s">
        <v>11</v>
      </c>
      <c r="D417" s="64">
        <v>2</v>
      </c>
      <c r="E417" s="64">
        <v>1</v>
      </c>
      <c r="F417" s="71" t="s">
        <v>286</v>
      </c>
      <c r="G417" s="64"/>
      <c r="H417" s="21"/>
      <c r="I417" s="21"/>
      <c r="J417" s="21"/>
      <c r="K417" s="21"/>
      <c r="L417" s="21"/>
      <c r="M417" s="21"/>
      <c r="N417" s="21"/>
    </row>
    <row r="418" spans="1:14" ht="40.5" x14ac:dyDescent="0.25">
      <c r="A418" s="151"/>
      <c r="B418" s="64"/>
      <c r="C418" s="64"/>
      <c r="D418" s="64"/>
      <c r="E418" s="64"/>
      <c r="F418" s="71" t="s">
        <v>177</v>
      </c>
      <c r="G418" s="64"/>
      <c r="H418" s="21"/>
      <c r="I418" s="21"/>
      <c r="J418" s="21"/>
      <c r="K418" s="21"/>
      <c r="L418" s="21"/>
      <c r="M418" s="21"/>
      <c r="N418" s="21"/>
    </row>
    <row r="419" spans="1:14" x14ac:dyDescent="0.25">
      <c r="A419" s="151"/>
      <c r="B419" s="64"/>
      <c r="C419" s="64"/>
      <c r="D419" s="64"/>
      <c r="E419" s="64"/>
      <c r="F419" s="71" t="s">
        <v>590</v>
      </c>
      <c r="G419" s="64"/>
      <c r="H419" s="21"/>
      <c r="I419" s="21"/>
      <c r="J419" s="21"/>
      <c r="K419" s="21"/>
      <c r="L419" s="21"/>
      <c r="M419" s="21"/>
      <c r="N419" s="21"/>
    </row>
    <row r="420" spans="1:14" x14ac:dyDescent="0.25">
      <c r="A420" s="151"/>
      <c r="B420" s="64"/>
      <c r="C420" s="64"/>
      <c r="D420" s="64"/>
      <c r="E420" s="64"/>
      <c r="F420" s="71" t="s">
        <v>178</v>
      </c>
      <c r="G420" s="64"/>
      <c r="H420" s="21"/>
      <c r="I420" s="21"/>
      <c r="J420" s="21"/>
      <c r="K420" s="21"/>
      <c r="L420" s="21"/>
      <c r="M420" s="21"/>
      <c r="N420" s="21"/>
    </row>
    <row r="421" spans="1:14" x14ac:dyDescent="0.25">
      <c r="A421" s="151"/>
      <c r="B421" s="64">
        <v>2630</v>
      </c>
      <c r="C421" s="64" t="s">
        <v>11</v>
      </c>
      <c r="D421" s="64">
        <v>3</v>
      </c>
      <c r="E421" s="64">
        <v>0</v>
      </c>
      <c r="F421" s="71" t="s">
        <v>287</v>
      </c>
      <c r="G421" s="64"/>
      <c r="H421" s="21"/>
      <c r="I421" s="21"/>
      <c r="J421" s="21"/>
      <c r="K421" s="21"/>
      <c r="L421" s="21"/>
      <c r="M421" s="21"/>
      <c r="N421" s="21"/>
    </row>
    <row r="422" spans="1:14" ht="56.25" customHeight="1" x14ac:dyDescent="0.25">
      <c r="A422" s="151"/>
      <c r="B422" s="64"/>
      <c r="C422" s="64"/>
      <c r="D422" s="64"/>
      <c r="E422" s="64"/>
      <c r="F422" s="71" t="s">
        <v>156</v>
      </c>
      <c r="G422" s="64"/>
      <c r="H422" s="21"/>
      <c r="I422" s="21"/>
      <c r="J422" s="21"/>
      <c r="K422" s="21"/>
      <c r="L422" s="21"/>
      <c r="M422" s="21"/>
      <c r="N422" s="21"/>
    </row>
    <row r="423" spans="1:14" x14ac:dyDescent="0.25">
      <c r="A423" s="151"/>
      <c r="B423" s="64">
        <v>2631</v>
      </c>
      <c r="C423" s="64" t="s">
        <v>11</v>
      </c>
      <c r="D423" s="64">
        <v>3</v>
      </c>
      <c r="E423" s="64">
        <v>1</v>
      </c>
      <c r="F423" s="71" t="s">
        <v>288</v>
      </c>
      <c r="G423" s="64"/>
      <c r="H423" s="21"/>
      <c r="I423" s="21"/>
      <c r="J423" s="21"/>
      <c r="K423" s="21"/>
      <c r="L423" s="21"/>
      <c r="M423" s="21"/>
      <c r="N423" s="21"/>
    </row>
    <row r="424" spans="1:14" ht="40.5" x14ac:dyDescent="0.25">
      <c r="A424" s="151"/>
      <c r="B424" s="64"/>
      <c r="C424" s="64"/>
      <c r="D424" s="64"/>
      <c r="E424" s="64"/>
      <c r="F424" s="71" t="s">
        <v>177</v>
      </c>
      <c r="G424" s="64"/>
      <c r="H424" s="21"/>
      <c r="I424" s="21"/>
      <c r="J424" s="21"/>
      <c r="K424" s="21"/>
      <c r="L424" s="21"/>
      <c r="M424" s="21"/>
      <c r="N424" s="21"/>
    </row>
    <row r="425" spans="1:14" x14ac:dyDescent="0.25">
      <c r="A425" s="151"/>
      <c r="B425" s="64"/>
      <c r="C425" s="64"/>
      <c r="D425" s="64"/>
      <c r="E425" s="64"/>
      <c r="F425" s="71" t="s">
        <v>178</v>
      </c>
      <c r="G425" s="64"/>
      <c r="H425" s="21"/>
      <c r="I425" s="21"/>
      <c r="J425" s="21"/>
      <c r="K425" s="21"/>
      <c r="L425" s="21"/>
      <c r="M425" s="21"/>
      <c r="N425" s="21"/>
    </row>
    <row r="426" spans="1:14" x14ac:dyDescent="0.25">
      <c r="A426" s="151"/>
      <c r="B426" s="64"/>
      <c r="C426" s="64"/>
      <c r="D426" s="64"/>
      <c r="E426" s="64"/>
      <c r="F426" s="71" t="s">
        <v>178</v>
      </c>
      <c r="G426" s="64"/>
      <c r="H426" s="21"/>
      <c r="I426" s="21"/>
      <c r="J426" s="21"/>
      <c r="K426" s="21"/>
      <c r="L426" s="21"/>
      <c r="M426" s="21"/>
      <c r="N426" s="21"/>
    </row>
    <row r="427" spans="1:14" x14ac:dyDescent="0.25">
      <c r="A427" s="151"/>
      <c r="B427" s="64">
        <v>2640</v>
      </c>
      <c r="C427" s="64" t="s">
        <v>11</v>
      </c>
      <c r="D427" s="64">
        <v>4</v>
      </c>
      <c r="E427" s="64">
        <v>0</v>
      </c>
      <c r="F427" s="71" t="s">
        <v>289</v>
      </c>
      <c r="G427" s="64"/>
      <c r="H427" s="21">
        <f t="shared" ref="H427:N427" si="59">H429</f>
        <v>241361.40299999999</v>
      </c>
      <c r="I427" s="21">
        <f t="shared" si="59"/>
        <v>229361.40299999999</v>
      </c>
      <c r="J427" s="21">
        <f t="shared" si="59"/>
        <v>12000</v>
      </c>
      <c r="K427" s="21">
        <f t="shared" si="59"/>
        <v>86369.394517786597</v>
      </c>
      <c r="L427" s="21">
        <f t="shared" si="59"/>
        <v>164316.12709980231</v>
      </c>
      <c r="M427" s="21">
        <f t="shared" si="59"/>
        <v>201756.26775000032</v>
      </c>
      <c r="N427" s="21">
        <f t="shared" si="59"/>
        <v>241361.40299999999</v>
      </c>
    </row>
    <row r="428" spans="1:14" ht="55.5" customHeight="1" x14ac:dyDescent="0.25">
      <c r="A428" s="151"/>
      <c r="B428" s="64"/>
      <c r="C428" s="64"/>
      <c r="D428" s="64"/>
      <c r="E428" s="64"/>
      <c r="F428" s="71" t="s">
        <v>156</v>
      </c>
      <c r="G428" s="64"/>
      <c r="H428" s="21"/>
      <c r="I428" s="21"/>
      <c r="J428" s="21"/>
      <c r="K428" s="21"/>
      <c r="L428" s="21"/>
      <c r="M428" s="21"/>
      <c r="N428" s="21"/>
    </row>
    <row r="429" spans="1:14" x14ac:dyDescent="0.25">
      <c r="A429" s="151"/>
      <c r="B429" s="64">
        <v>2641</v>
      </c>
      <c r="C429" s="64" t="s">
        <v>11</v>
      </c>
      <c r="D429" s="64">
        <v>4</v>
      </c>
      <c r="E429" s="64">
        <v>1</v>
      </c>
      <c r="F429" s="71" t="s">
        <v>290</v>
      </c>
      <c r="G429" s="64"/>
      <c r="H429" s="21">
        <f t="shared" ref="H429:N429" si="60">SUM(H431:H436)</f>
        <v>241361.40299999999</v>
      </c>
      <c r="I429" s="21">
        <f t="shared" si="60"/>
        <v>229361.40299999999</v>
      </c>
      <c r="J429" s="21">
        <f t="shared" si="60"/>
        <v>12000</v>
      </c>
      <c r="K429" s="21">
        <f t="shared" si="60"/>
        <v>86369.394517786597</v>
      </c>
      <c r="L429" s="21">
        <f t="shared" si="60"/>
        <v>164316.12709980231</v>
      </c>
      <c r="M429" s="21">
        <f t="shared" si="60"/>
        <v>201756.26775000032</v>
      </c>
      <c r="N429" s="21">
        <f t="shared" si="60"/>
        <v>241361.40299999999</v>
      </c>
    </row>
    <row r="430" spans="1:14" ht="40.5" x14ac:dyDescent="0.25">
      <c r="A430" s="151"/>
      <c r="B430" s="64"/>
      <c r="C430" s="64"/>
      <c r="D430" s="64"/>
      <c r="E430" s="64"/>
      <c r="F430" s="71" t="s">
        <v>177</v>
      </c>
      <c r="G430" s="64"/>
      <c r="H430" s="21"/>
      <c r="I430" s="21"/>
      <c r="J430" s="21"/>
      <c r="K430" s="21"/>
      <c r="L430" s="21"/>
      <c r="M430" s="21"/>
      <c r="N430" s="21"/>
    </row>
    <row r="431" spans="1:14" x14ac:dyDescent="0.25">
      <c r="A431" s="151"/>
      <c r="B431" s="64"/>
      <c r="C431" s="64"/>
      <c r="D431" s="64"/>
      <c r="E431" s="64"/>
      <c r="F431" s="71" t="s">
        <v>588</v>
      </c>
      <c r="G431" s="64">
        <v>4212</v>
      </c>
      <c r="H431" s="21">
        <f>+I431+J431</f>
        <v>220361.40299999999</v>
      </c>
      <c r="I431" s="21">
        <f>200000+14711.403+650+5000</f>
        <v>220361.40299999999</v>
      </c>
      <c r="J431" s="21"/>
      <c r="K431" s="145">
        <v>81369.394517786612</v>
      </c>
      <c r="L431" s="145">
        <v>154232.793766469</v>
      </c>
      <c r="M431" s="145">
        <v>186172.93441666701</v>
      </c>
      <c r="N431" s="145">
        <f t="shared" ref="N431:N436" si="61">+H431</f>
        <v>220361.40299999999</v>
      </c>
    </row>
    <row r="432" spans="1:14" x14ac:dyDescent="0.25">
      <c r="A432" s="151"/>
      <c r="B432" s="64"/>
      <c r="C432" s="64"/>
      <c r="D432" s="64"/>
      <c r="E432" s="64"/>
      <c r="F432" s="71" t="s">
        <v>547</v>
      </c>
      <c r="G432" s="64">
        <v>4239</v>
      </c>
      <c r="H432" s="21">
        <f t="shared" ref="H432:H436" si="62">+I432+J432</f>
        <v>5000</v>
      </c>
      <c r="I432" s="21">
        <v>5000</v>
      </c>
      <c r="J432" s="21"/>
      <c r="K432" s="145">
        <v>1190.4761904761906</v>
      </c>
      <c r="L432" s="145">
        <v>2400.7936507936511</v>
      </c>
      <c r="M432" s="145">
        <v>3710.3174603174602</v>
      </c>
      <c r="N432" s="145">
        <f t="shared" si="61"/>
        <v>5000</v>
      </c>
    </row>
    <row r="433" spans="1:14" x14ac:dyDescent="0.25">
      <c r="A433" s="151"/>
      <c r="B433" s="64"/>
      <c r="C433" s="64"/>
      <c r="D433" s="64"/>
      <c r="E433" s="64"/>
      <c r="F433" s="71" t="s">
        <v>169</v>
      </c>
      <c r="G433" s="64">
        <v>4269</v>
      </c>
      <c r="H433" s="21">
        <f t="shared" si="62"/>
        <v>4000</v>
      </c>
      <c r="I433" s="21">
        <v>4000</v>
      </c>
      <c r="J433" s="21"/>
      <c r="K433" s="145">
        <v>952.38095238095241</v>
      </c>
      <c r="L433" s="145">
        <v>1920.6349206349207</v>
      </c>
      <c r="M433" s="145">
        <v>2968.2539682539682</v>
      </c>
      <c r="N433" s="145">
        <f t="shared" si="61"/>
        <v>4000</v>
      </c>
    </row>
    <row r="434" spans="1:14" x14ac:dyDescent="0.25">
      <c r="A434" s="151"/>
      <c r="B434" s="64"/>
      <c r="C434" s="64"/>
      <c r="D434" s="64"/>
      <c r="E434" s="64"/>
      <c r="F434" s="71" t="s">
        <v>543</v>
      </c>
      <c r="G434" s="64">
        <v>4822</v>
      </c>
      <c r="H434" s="21">
        <f t="shared" si="62"/>
        <v>0</v>
      </c>
      <c r="I434" s="21"/>
      <c r="J434" s="21"/>
      <c r="K434" s="145">
        <v>0</v>
      </c>
      <c r="L434" s="145">
        <v>0</v>
      </c>
      <c r="M434" s="145">
        <v>0</v>
      </c>
      <c r="N434" s="145">
        <f t="shared" si="61"/>
        <v>0</v>
      </c>
    </row>
    <row r="435" spans="1:14" x14ac:dyDescent="0.25">
      <c r="A435" s="151"/>
      <c r="B435" s="64"/>
      <c r="C435" s="64"/>
      <c r="D435" s="64"/>
      <c r="E435" s="64"/>
      <c r="F435" s="71" t="s">
        <v>552</v>
      </c>
      <c r="G435" s="64">
        <v>5112</v>
      </c>
      <c r="H435" s="21">
        <f t="shared" si="62"/>
        <v>2000</v>
      </c>
      <c r="I435" s="21"/>
      <c r="J435" s="21">
        <v>2000</v>
      </c>
      <c r="K435" s="145">
        <v>476.1904761904762</v>
      </c>
      <c r="L435" s="145">
        <v>960.31746031746036</v>
      </c>
      <c r="M435" s="145">
        <v>1484.1269841269841</v>
      </c>
      <c r="N435" s="145">
        <f t="shared" si="61"/>
        <v>2000</v>
      </c>
    </row>
    <row r="436" spans="1:14" x14ac:dyDescent="0.25">
      <c r="A436" s="151"/>
      <c r="B436" s="64"/>
      <c r="C436" s="64"/>
      <c r="D436" s="64"/>
      <c r="E436" s="64"/>
      <c r="F436" s="71" t="s">
        <v>589</v>
      </c>
      <c r="G436" s="64">
        <v>5129</v>
      </c>
      <c r="H436" s="21">
        <f t="shared" si="62"/>
        <v>10000</v>
      </c>
      <c r="I436" s="21"/>
      <c r="J436" s="21">
        <v>10000</v>
      </c>
      <c r="K436" s="145">
        <v>2380.9523809523812</v>
      </c>
      <c r="L436" s="145">
        <v>4801.5873015873021</v>
      </c>
      <c r="M436" s="145">
        <v>7420.6349206349205</v>
      </c>
      <c r="N436" s="145">
        <f t="shared" si="61"/>
        <v>10000</v>
      </c>
    </row>
    <row r="437" spans="1:14" x14ac:dyDescent="0.25">
      <c r="A437" s="151"/>
      <c r="B437" s="64"/>
      <c r="C437" s="64"/>
      <c r="D437" s="64"/>
      <c r="E437" s="64"/>
      <c r="F437" s="71" t="s">
        <v>178</v>
      </c>
      <c r="G437" s="64"/>
      <c r="H437" s="21"/>
      <c r="I437" s="21"/>
      <c r="J437" s="21"/>
      <c r="K437" s="21"/>
      <c r="L437" s="21"/>
      <c r="M437" s="21"/>
      <c r="N437" s="21"/>
    </row>
    <row r="438" spans="1:14" ht="60" customHeight="1" x14ac:dyDescent="0.25">
      <c r="A438" s="151"/>
      <c r="B438" s="64">
        <v>2650</v>
      </c>
      <c r="C438" s="64" t="s">
        <v>11</v>
      </c>
      <c r="D438" s="64">
        <v>5</v>
      </c>
      <c r="E438" s="64">
        <v>0</v>
      </c>
      <c r="F438" s="71" t="s">
        <v>291</v>
      </c>
      <c r="G438" s="64"/>
      <c r="H438" s="21"/>
      <c r="I438" s="21"/>
      <c r="J438" s="21"/>
      <c r="K438" s="21"/>
      <c r="L438" s="21"/>
      <c r="M438" s="21"/>
      <c r="N438" s="21"/>
    </row>
    <row r="439" spans="1:14" ht="54" customHeight="1" x14ac:dyDescent="0.25">
      <c r="A439" s="151"/>
      <c r="B439" s="64"/>
      <c r="C439" s="64"/>
      <c r="D439" s="64"/>
      <c r="E439" s="64"/>
      <c r="F439" s="71" t="s">
        <v>156</v>
      </c>
      <c r="G439" s="64"/>
      <c r="H439" s="21"/>
      <c r="I439" s="21"/>
      <c r="J439" s="21"/>
      <c r="K439" s="21"/>
      <c r="L439" s="21"/>
      <c r="M439" s="21"/>
      <c r="N439" s="21"/>
    </row>
    <row r="440" spans="1:14" ht="40.5" x14ac:dyDescent="0.25">
      <c r="A440" s="151"/>
      <c r="B440" s="64">
        <v>2651</v>
      </c>
      <c r="C440" s="64" t="s">
        <v>11</v>
      </c>
      <c r="D440" s="64">
        <v>5</v>
      </c>
      <c r="E440" s="64">
        <v>1</v>
      </c>
      <c r="F440" s="71" t="s">
        <v>291</v>
      </c>
      <c r="G440" s="64"/>
      <c r="H440" s="21"/>
      <c r="I440" s="21"/>
      <c r="J440" s="21"/>
      <c r="K440" s="21"/>
      <c r="L440" s="21"/>
      <c r="M440" s="21"/>
      <c r="N440" s="21"/>
    </row>
    <row r="441" spans="1:14" ht="37.5" customHeight="1" x14ac:dyDescent="0.25">
      <c r="A441" s="151"/>
      <c r="B441" s="64"/>
      <c r="C441" s="64"/>
      <c r="D441" s="64"/>
      <c r="E441" s="64"/>
      <c r="F441" s="71" t="s">
        <v>177</v>
      </c>
      <c r="G441" s="64"/>
      <c r="H441" s="21"/>
      <c r="I441" s="21"/>
      <c r="J441" s="21"/>
      <c r="K441" s="21"/>
      <c r="L441" s="21"/>
      <c r="M441" s="21"/>
      <c r="N441" s="21"/>
    </row>
    <row r="442" spans="1:14" x14ac:dyDescent="0.25">
      <c r="A442" s="151"/>
      <c r="B442" s="64"/>
      <c r="C442" s="64"/>
      <c r="D442" s="64"/>
      <c r="E442" s="64"/>
      <c r="F442" s="71" t="s">
        <v>178</v>
      </c>
      <c r="G442" s="64"/>
      <c r="H442" s="21"/>
      <c r="I442" s="21"/>
      <c r="J442" s="21"/>
      <c r="K442" s="21"/>
      <c r="L442" s="21"/>
      <c r="M442" s="21"/>
      <c r="N442" s="21"/>
    </row>
    <row r="443" spans="1:14" ht="36" customHeight="1" x14ac:dyDescent="0.25">
      <c r="A443" s="151"/>
      <c r="B443" s="64">
        <v>2660</v>
      </c>
      <c r="C443" s="64" t="s">
        <v>11</v>
      </c>
      <c r="D443" s="64">
        <v>6</v>
      </c>
      <c r="E443" s="64">
        <v>0</v>
      </c>
      <c r="F443" s="71" t="s">
        <v>292</v>
      </c>
      <c r="G443" s="64"/>
      <c r="H443" s="21">
        <f>+H445</f>
        <v>1020416.6047999988</v>
      </c>
      <c r="I443" s="21">
        <f t="shared" ref="I443:N443" si="63">I445</f>
        <v>258676.57499999998</v>
      </c>
      <c r="J443" s="21">
        <f t="shared" si="63"/>
        <v>761740.02979999885</v>
      </c>
      <c r="K443" s="21">
        <f t="shared" si="63"/>
        <v>520566.5668099043</v>
      </c>
      <c r="L443" s="21">
        <f t="shared" si="63"/>
        <v>724979.10408253933</v>
      </c>
      <c r="M443" s="21">
        <f t="shared" si="63"/>
        <v>895158.21472304955</v>
      </c>
      <c r="N443" s="21">
        <f t="shared" si="63"/>
        <v>1020416.6047999988</v>
      </c>
    </row>
    <row r="444" spans="1:14" ht="55.5" customHeight="1" x14ac:dyDescent="0.25">
      <c r="A444" s="151"/>
      <c r="B444" s="64"/>
      <c r="C444" s="64"/>
      <c r="D444" s="64"/>
      <c r="E444" s="64"/>
      <c r="F444" s="71" t="s">
        <v>156</v>
      </c>
      <c r="G444" s="64"/>
      <c r="H444" s="21"/>
      <c r="I444" s="21"/>
      <c r="J444" s="21"/>
      <c r="K444" s="21"/>
      <c r="L444" s="21"/>
      <c r="M444" s="21"/>
      <c r="N444" s="21"/>
    </row>
    <row r="445" spans="1:14" ht="39.75" customHeight="1" x14ac:dyDescent="0.25">
      <c r="A445" s="151"/>
      <c r="B445" s="64">
        <v>2661</v>
      </c>
      <c r="C445" s="64" t="s">
        <v>11</v>
      </c>
      <c r="D445" s="64">
        <v>6</v>
      </c>
      <c r="E445" s="64">
        <v>1</v>
      </c>
      <c r="F445" s="71" t="s">
        <v>292</v>
      </c>
      <c r="G445" s="64"/>
      <c r="H445" s="21">
        <f>+H447+H448+H449+H450+H451+H452+H453+H454+H455+H456+H457+H458+H459+H460+H461</f>
        <v>1020416.6047999988</v>
      </c>
      <c r="I445" s="21">
        <f t="shared" ref="I445:N445" si="64">+I447+I448+I449+I450+I451+I452+I453+I454+I455+I456+I457+I458+I459+I460+I461</f>
        <v>258676.57499999998</v>
      </c>
      <c r="J445" s="21">
        <f t="shared" si="64"/>
        <v>761740.02979999885</v>
      </c>
      <c r="K445" s="21">
        <f t="shared" si="64"/>
        <v>520566.5668099043</v>
      </c>
      <c r="L445" s="21">
        <f t="shared" si="64"/>
        <v>724979.10408253933</v>
      </c>
      <c r="M445" s="21">
        <f t="shared" si="64"/>
        <v>895158.21472304955</v>
      </c>
      <c r="N445" s="21">
        <f t="shared" si="64"/>
        <v>1020416.6047999988</v>
      </c>
    </row>
    <row r="446" spans="1:14" ht="39.75" customHeight="1" x14ac:dyDescent="0.25">
      <c r="A446" s="151"/>
      <c r="B446" s="64"/>
      <c r="C446" s="64"/>
      <c r="D446" s="64"/>
      <c r="E446" s="64"/>
      <c r="F446" s="71" t="s">
        <v>177</v>
      </c>
      <c r="G446" s="64"/>
      <c r="H446" s="21"/>
      <c r="I446" s="21"/>
      <c r="J446" s="21"/>
      <c r="K446" s="21"/>
      <c r="L446" s="21"/>
      <c r="M446" s="21"/>
      <c r="N446" s="21"/>
    </row>
    <row r="447" spans="1:14" ht="31.5" customHeight="1" x14ac:dyDescent="0.25">
      <c r="A447" s="151"/>
      <c r="B447" s="64"/>
      <c r="C447" s="64"/>
      <c r="D447" s="64"/>
      <c r="E447" s="64"/>
      <c r="F447" s="71" t="s">
        <v>158</v>
      </c>
      <c r="G447" s="64" t="s">
        <v>20</v>
      </c>
      <c r="H447" s="21">
        <f>SUM(I447:J447)</f>
        <v>128441.5</v>
      </c>
      <c r="I447" s="21">
        <f>118441.5+5000+5000</f>
        <v>128441.5</v>
      </c>
      <c r="J447" s="21"/>
      <c r="K447" s="145">
        <v>29390.833333333332</v>
      </c>
      <c r="L447" s="145">
        <v>59271.513888888891</v>
      </c>
      <c r="M447" s="145">
        <v>91601.430555555562</v>
      </c>
      <c r="N447" s="145">
        <f t="shared" ref="N447:N461" si="65">+H447</f>
        <v>128441.5</v>
      </c>
    </row>
    <row r="448" spans="1:14" ht="20.25" customHeight="1" x14ac:dyDescent="0.25">
      <c r="A448" s="151"/>
      <c r="B448" s="64"/>
      <c r="C448" s="64"/>
      <c r="D448" s="64"/>
      <c r="E448" s="64"/>
      <c r="F448" s="71" t="s">
        <v>750</v>
      </c>
      <c r="G448" s="64" t="s">
        <v>29</v>
      </c>
      <c r="H448" s="21">
        <f t="shared" ref="H448:H455" si="66">SUM(I448:J448)</f>
        <v>0</v>
      </c>
      <c r="I448" s="21"/>
      <c r="J448" s="21"/>
      <c r="K448" s="145">
        <v>0</v>
      </c>
      <c r="L448" s="145">
        <v>0</v>
      </c>
      <c r="M448" s="145">
        <v>0</v>
      </c>
      <c r="N448" s="145">
        <f t="shared" si="65"/>
        <v>0</v>
      </c>
    </row>
    <row r="449" spans="1:16" x14ac:dyDescent="0.25">
      <c r="A449" s="151"/>
      <c r="B449" s="64"/>
      <c r="C449" s="64"/>
      <c r="D449" s="64"/>
      <c r="E449" s="64"/>
      <c r="F449" s="71" t="s">
        <v>547</v>
      </c>
      <c r="G449" s="64" t="s">
        <v>40</v>
      </c>
      <c r="H449" s="21">
        <f t="shared" si="66"/>
        <v>19645.169999999998</v>
      </c>
      <c r="I449" s="21">
        <f>12000+5000+2113.3+531.87</f>
        <v>19645.169999999998</v>
      </c>
      <c r="J449" s="21"/>
      <c r="K449" s="145">
        <v>5209.2914285714278</v>
      </c>
      <c r="L449" s="145">
        <v>9964.6698809523805</v>
      </c>
      <c r="M449" s="145">
        <v>15109.833452380952</v>
      </c>
      <c r="N449" s="145">
        <f t="shared" si="65"/>
        <v>19645.169999999998</v>
      </c>
    </row>
    <row r="450" spans="1:16" x14ac:dyDescent="0.25">
      <c r="A450" s="151"/>
      <c r="B450" s="64"/>
      <c r="C450" s="64"/>
      <c r="D450" s="64"/>
      <c r="E450" s="64"/>
      <c r="F450" s="71" t="s">
        <v>542</v>
      </c>
      <c r="G450" s="64" t="s">
        <v>41</v>
      </c>
      <c r="H450" s="21">
        <f t="shared" si="66"/>
        <v>351</v>
      </c>
      <c r="I450" s="21">
        <v>351</v>
      </c>
      <c r="J450" s="21"/>
      <c r="K450" s="145">
        <v>83.571428571428569</v>
      </c>
      <c r="L450" s="145">
        <v>168.53571428571428</v>
      </c>
      <c r="M450" s="145">
        <v>260.46428571428572</v>
      </c>
      <c r="N450" s="145">
        <f t="shared" si="65"/>
        <v>351</v>
      </c>
    </row>
    <row r="451" spans="1:16" x14ac:dyDescent="0.25">
      <c r="A451" s="151"/>
      <c r="B451" s="64"/>
      <c r="C451" s="64"/>
      <c r="D451" s="64"/>
      <c r="E451" s="64"/>
      <c r="F451" s="71" t="s">
        <v>553</v>
      </c>
      <c r="G451" s="64">
        <v>4251</v>
      </c>
      <c r="H451" s="21">
        <f t="shared" si="66"/>
        <v>1000</v>
      </c>
      <c r="I451" s="21">
        <v>1000</v>
      </c>
      <c r="J451" s="21"/>
      <c r="K451" s="145">
        <v>238.0952380952381</v>
      </c>
      <c r="L451" s="145">
        <v>480.15873015873018</v>
      </c>
      <c r="M451" s="145">
        <v>742.06349206349205</v>
      </c>
      <c r="N451" s="145">
        <f t="shared" si="65"/>
        <v>1000</v>
      </c>
    </row>
    <row r="452" spans="1:16" ht="27" x14ac:dyDescent="0.25">
      <c r="A452" s="151"/>
      <c r="B452" s="64"/>
      <c r="C452" s="64"/>
      <c r="D452" s="64"/>
      <c r="E452" s="64"/>
      <c r="F452" s="71" t="s">
        <v>411</v>
      </c>
      <c r="G452" s="64" t="s">
        <v>43</v>
      </c>
      <c r="H452" s="21">
        <f t="shared" si="66"/>
        <v>2209</v>
      </c>
      <c r="I452" s="21">
        <v>2209</v>
      </c>
      <c r="J452" s="21"/>
      <c r="K452" s="145">
        <v>525.95238095238096</v>
      </c>
      <c r="L452" s="145">
        <v>1060.6706349206349</v>
      </c>
      <c r="M452" s="145">
        <v>1639.218253968254</v>
      </c>
      <c r="N452" s="145">
        <f t="shared" si="65"/>
        <v>2209</v>
      </c>
    </row>
    <row r="453" spans="1:16" ht="33.75" customHeight="1" x14ac:dyDescent="0.25">
      <c r="A453" s="151"/>
      <c r="B453" s="64"/>
      <c r="C453" s="64"/>
      <c r="D453" s="64"/>
      <c r="E453" s="64"/>
      <c r="F453" s="71" t="s">
        <v>554</v>
      </c>
      <c r="G453" s="64">
        <v>4264</v>
      </c>
      <c r="H453" s="21">
        <f t="shared" si="66"/>
        <v>67266.415999999997</v>
      </c>
      <c r="I453" s="21">
        <f>63387.1+3879.316</f>
        <v>67266.415999999997</v>
      </c>
      <c r="J453" s="21"/>
      <c r="K453" s="145">
        <v>19895.129333333331</v>
      </c>
      <c r="L453" s="145">
        <v>36177.872888888887</v>
      </c>
      <c r="M453" s="145">
        <v>53795.267555555547</v>
      </c>
      <c r="N453" s="145">
        <f t="shared" si="65"/>
        <v>67266.415999999997</v>
      </c>
    </row>
    <row r="454" spans="1:16" x14ac:dyDescent="0.25">
      <c r="A454" s="151"/>
      <c r="B454" s="64"/>
      <c r="C454" s="64"/>
      <c r="D454" s="64"/>
      <c r="E454" s="64"/>
      <c r="F454" s="71" t="s">
        <v>169</v>
      </c>
      <c r="G454" s="64">
        <v>4269</v>
      </c>
      <c r="H454" s="21">
        <f t="shared" si="66"/>
        <v>39763.489000000001</v>
      </c>
      <c r="I454" s="21">
        <v>39763.489000000001</v>
      </c>
      <c r="J454" s="21"/>
      <c r="K454" s="145">
        <v>15370.486380952381</v>
      </c>
      <c r="L454" s="145">
        <v>24995.775384920635</v>
      </c>
      <c r="M454" s="145">
        <v>39763.5</v>
      </c>
      <c r="N454" s="145">
        <f t="shared" si="65"/>
        <v>39763.489000000001</v>
      </c>
      <c r="P454" s="151"/>
    </row>
    <row r="455" spans="1:16" ht="27" x14ac:dyDescent="0.25">
      <c r="A455" s="151"/>
      <c r="B455" s="64"/>
      <c r="C455" s="64"/>
      <c r="D455" s="64"/>
      <c r="E455" s="64"/>
      <c r="F455" s="71" t="s">
        <v>555</v>
      </c>
      <c r="G455" s="64">
        <v>4521</v>
      </c>
      <c r="H455" s="21">
        <f t="shared" si="66"/>
        <v>0</v>
      </c>
      <c r="I455" s="21"/>
      <c r="J455" s="21"/>
      <c r="K455" s="145">
        <v>0</v>
      </c>
      <c r="L455" s="145">
        <v>0</v>
      </c>
      <c r="M455" s="145">
        <v>0</v>
      </c>
      <c r="N455" s="145">
        <f t="shared" si="65"/>
        <v>0</v>
      </c>
    </row>
    <row r="456" spans="1:16" x14ac:dyDescent="0.25">
      <c r="A456" s="151"/>
      <c r="B456" s="64"/>
      <c r="C456" s="64"/>
      <c r="D456" s="64"/>
      <c r="E456" s="64"/>
      <c r="F456" s="71" t="s">
        <v>580</v>
      </c>
      <c r="G456" s="64" t="s">
        <v>59</v>
      </c>
      <c r="H456" s="21">
        <v>0</v>
      </c>
      <c r="I456" s="21"/>
      <c r="J456" s="21"/>
      <c r="K456" s="145">
        <v>0</v>
      </c>
      <c r="L456" s="145">
        <v>0</v>
      </c>
      <c r="M456" s="145">
        <v>0</v>
      </c>
      <c r="N456" s="145">
        <f t="shared" si="65"/>
        <v>0</v>
      </c>
    </row>
    <row r="457" spans="1:16" ht="27" x14ac:dyDescent="0.25">
      <c r="A457" s="151"/>
      <c r="B457" s="64"/>
      <c r="C457" s="64"/>
      <c r="D457" s="64"/>
      <c r="E457" s="64"/>
      <c r="F457" s="71" t="s">
        <v>599</v>
      </c>
      <c r="G457" s="64" t="s">
        <v>92</v>
      </c>
      <c r="H457" s="21">
        <f t="shared" ref="H457" si="67">SUM(I457:J457)</f>
        <v>650283.53879999882</v>
      </c>
      <c r="I457" s="21"/>
      <c r="J457" s="21">
        <f>11000+236931.083+56446.271+34701+152000+180000-20794.8152000012</f>
        <v>650283.53879999882</v>
      </c>
      <c r="K457" s="145">
        <v>419628.58066704718</v>
      </c>
      <c r="L457" s="145">
        <v>542917.63767777733</v>
      </c>
      <c r="M457" s="145">
        <f>587454.45194924+3515.87301587313</f>
        <v>590970.32496511319</v>
      </c>
      <c r="N457" s="145">
        <f t="shared" si="65"/>
        <v>650283.53879999882</v>
      </c>
    </row>
    <row r="458" spans="1:16" x14ac:dyDescent="0.25">
      <c r="A458" s="151"/>
      <c r="B458" s="64"/>
      <c r="C458" s="64"/>
      <c r="D458" s="64"/>
      <c r="E458" s="64"/>
      <c r="F458" s="71" t="s">
        <v>587</v>
      </c>
      <c r="G458" s="64">
        <v>5112</v>
      </c>
      <c r="H458" s="21">
        <v>0</v>
      </c>
      <c r="I458" s="21"/>
      <c r="J458" s="21"/>
      <c r="K458" s="145">
        <v>0</v>
      </c>
      <c r="L458" s="145">
        <v>0</v>
      </c>
      <c r="M458" s="145">
        <v>0</v>
      </c>
      <c r="N458" s="145">
        <f t="shared" si="65"/>
        <v>0</v>
      </c>
    </row>
    <row r="459" spans="1:16" x14ac:dyDescent="0.25">
      <c r="A459" s="151"/>
      <c r="B459" s="64"/>
      <c r="C459" s="64"/>
      <c r="D459" s="64"/>
      <c r="E459" s="64"/>
      <c r="F459" s="71" t="s">
        <v>185</v>
      </c>
      <c r="G459" s="64">
        <v>5122</v>
      </c>
      <c r="H459" s="21">
        <v>0</v>
      </c>
      <c r="I459" s="21"/>
      <c r="J459" s="21"/>
      <c r="K459" s="145">
        <v>0</v>
      </c>
      <c r="L459" s="145">
        <v>0</v>
      </c>
      <c r="M459" s="145">
        <v>0</v>
      </c>
      <c r="N459" s="145">
        <f t="shared" si="65"/>
        <v>0</v>
      </c>
    </row>
    <row r="460" spans="1:16" x14ac:dyDescent="0.25">
      <c r="A460" s="151"/>
      <c r="B460" s="64"/>
      <c r="C460" s="64"/>
      <c r="D460" s="64"/>
      <c r="E460" s="64"/>
      <c r="F460" s="71" t="s">
        <v>556</v>
      </c>
      <c r="G460" s="64">
        <v>5129</v>
      </c>
      <c r="H460" s="21">
        <f t="shared" ref="H460:H461" si="68">SUM(I460:J460)</f>
        <v>91007.823999999993</v>
      </c>
      <c r="I460" s="21"/>
      <c r="J460" s="21">
        <f>1000+3500+34200+10230+1247.6+10830.224+30000</f>
        <v>91007.823999999993</v>
      </c>
      <c r="K460" s="145">
        <v>25355.896380952381</v>
      </c>
      <c r="L460" s="145">
        <v>40123.663301587301</v>
      </c>
      <c r="M460" s="145">
        <v>86101.902920634893</v>
      </c>
      <c r="N460" s="145">
        <f t="shared" si="65"/>
        <v>91007.823999999993</v>
      </c>
    </row>
    <row r="461" spans="1:16" x14ac:dyDescent="0.25">
      <c r="A461" s="151"/>
      <c r="B461" s="64"/>
      <c r="C461" s="64"/>
      <c r="D461" s="64"/>
      <c r="E461" s="64"/>
      <c r="F461" s="71" t="s">
        <v>755</v>
      </c>
      <c r="G461" s="64" t="s">
        <v>99</v>
      </c>
      <c r="H461" s="21">
        <f t="shared" si="68"/>
        <v>20448.667000000001</v>
      </c>
      <c r="I461" s="21"/>
      <c r="J461" s="21">
        <f>14773.95+1098.317+825+2430+268.4+1053</f>
        <v>20448.667000000001</v>
      </c>
      <c r="K461" s="145">
        <v>4868.7302380952387</v>
      </c>
      <c r="L461" s="145">
        <v>9818.6059801587307</v>
      </c>
      <c r="M461" s="145">
        <v>15174.209242063494</v>
      </c>
      <c r="N461" s="145">
        <f t="shared" si="65"/>
        <v>20448.667000000001</v>
      </c>
    </row>
    <row r="462" spans="1:16" x14ac:dyDescent="0.25">
      <c r="A462" s="151"/>
      <c r="B462" s="64"/>
      <c r="C462" s="64"/>
      <c r="D462" s="64"/>
      <c r="E462" s="64"/>
      <c r="F462" s="71"/>
      <c r="G462" s="64"/>
      <c r="H462" s="21"/>
      <c r="I462" s="21"/>
      <c r="J462" s="21"/>
      <c r="K462" s="21"/>
      <c r="L462" s="21"/>
      <c r="M462" s="21"/>
      <c r="N462" s="21"/>
    </row>
    <row r="463" spans="1:16" ht="36" customHeight="1" x14ac:dyDescent="0.25">
      <c r="A463" s="151"/>
      <c r="B463" s="64">
        <v>2700</v>
      </c>
      <c r="C463" s="64" t="s">
        <v>12</v>
      </c>
      <c r="D463" s="64">
        <v>0</v>
      </c>
      <c r="E463" s="64">
        <v>0</v>
      </c>
      <c r="F463" s="71" t="s">
        <v>293</v>
      </c>
      <c r="G463" s="64"/>
      <c r="H463" s="21"/>
      <c r="I463" s="21"/>
      <c r="J463" s="21"/>
      <c r="K463" s="21"/>
      <c r="L463" s="21"/>
      <c r="M463" s="21"/>
      <c r="N463" s="21"/>
    </row>
    <row r="464" spans="1:16" x14ac:dyDescent="0.25">
      <c r="A464" s="151"/>
      <c r="B464" s="64"/>
      <c r="C464" s="64"/>
      <c r="D464" s="64"/>
      <c r="E464" s="64"/>
      <c r="F464" s="71" t="s">
        <v>154</v>
      </c>
      <c r="G464" s="64"/>
      <c r="H464" s="21"/>
      <c r="I464" s="21"/>
      <c r="J464" s="21"/>
      <c r="K464" s="21"/>
      <c r="L464" s="21"/>
      <c r="M464" s="21"/>
      <c r="N464" s="21"/>
    </row>
    <row r="465" spans="1:14" ht="27" x14ac:dyDescent="0.25">
      <c r="A465" s="151"/>
      <c r="B465" s="64">
        <v>2710</v>
      </c>
      <c r="C465" s="64" t="s">
        <v>12</v>
      </c>
      <c r="D465" s="64">
        <v>1</v>
      </c>
      <c r="E465" s="64">
        <v>0</v>
      </c>
      <c r="F465" s="71" t="s">
        <v>294</v>
      </c>
      <c r="G465" s="64"/>
      <c r="H465" s="21"/>
      <c r="I465" s="21"/>
      <c r="J465" s="21"/>
      <c r="K465" s="21"/>
      <c r="L465" s="21"/>
      <c r="M465" s="21"/>
      <c r="N465" s="21"/>
    </row>
    <row r="466" spans="1:14" ht="51.75" customHeight="1" x14ac:dyDescent="0.25">
      <c r="A466" s="151"/>
      <c r="B466" s="64"/>
      <c r="C466" s="64"/>
      <c r="D466" s="64"/>
      <c r="E466" s="64"/>
      <c r="F466" s="71" t="s">
        <v>156</v>
      </c>
      <c r="G466" s="64"/>
      <c r="H466" s="21"/>
      <c r="I466" s="21"/>
      <c r="J466" s="21"/>
      <c r="K466" s="21"/>
      <c r="L466" s="21"/>
      <c r="M466" s="21"/>
      <c r="N466" s="21"/>
    </row>
    <row r="467" spans="1:14" x14ac:dyDescent="0.25">
      <c r="A467" s="151"/>
      <c r="B467" s="64">
        <v>2711</v>
      </c>
      <c r="C467" s="64" t="s">
        <v>12</v>
      </c>
      <c r="D467" s="64">
        <v>1</v>
      </c>
      <c r="E467" s="64">
        <v>1</v>
      </c>
      <c r="F467" s="71" t="s">
        <v>295</v>
      </c>
      <c r="G467" s="64"/>
      <c r="H467" s="21"/>
      <c r="I467" s="21"/>
      <c r="J467" s="21"/>
      <c r="K467" s="21"/>
      <c r="L467" s="21"/>
      <c r="M467" s="21"/>
      <c r="N467" s="21"/>
    </row>
    <row r="468" spans="1:14" ht="40.5" x14ac:dyDescent="0.25">
      <c r="A468" s="151"/>
      <c r="B468" s="64"/>
      <c r="C468" s="64"/>
      <c r="D468" s="64"/>
      <c r="E468" s="64"/>
      <c r="F468" s="71" t="s">
        <v>177</v>
      </c>
      <c r="G468" s="64"/>
      <c r="H468" s="21"/>
      <c r="I468" s="21"/>
      <c r="J468" s="21"/>
      <c r="K468" s="21"/>
      <c r="L468" s="21"/>
      <c r="M468" s="21"/>
      <c r="N468" s="21"/>
    </row>
    <row r="469" spans="1:14" x14ac:dyDescent="0.25">
      <c r="A469" s="151"/>
      <c r="B469" s="64"/>
      <c r="C469" s="64"/>
      <c r="D469" s="64"/>
      <c r="E469" s="64"/>
      <c r="F469" s="71" t="s">
        <v>178</v>
      </c>
      <c r="G469" s="64"/>
      <c r="H469" s="21"/>
      <c r="I469" s="21"/>
      <c r="J469" s="21"/>
      <c r="K469" s="21"/>
      <c r="L469" s="21"/>
      <c r="M469" s="21"/>
      <c r="N469" s="21"/>
    </row>
    <row r="470" spans="1:14" ht="60" customHeight="1" x14ac:dyDescent="0.25">
      <c r="A470" s="151"/>
      <c r="B470" s="64"/>
      <c r="C470" s="64"/>
      <c r="D470" s="64"/>
      <c r="E470" s="64"/>
      <c r="F470" s="71" t="s">
        <v>178</v>
      </c>
      <c r="G470" s="64"/>
      <c r="H470" s="21"/>
      <c r="I470" s="21"/>
      <c r="J470" s="21"/>
      <c r="K470" s="21"/>
      <c r="L470" s="21"/>
      <c r="M470" s="21"/>
      <c r="N470" s="21"/>
    </row>
    <row r="471" spans="1:14" x14ac:dyDescent="0.25">
      <c r="A471" s="151"/>
      <c r="B471" s="64">
        <v>2712</v>
      </c>
      <c r="C471" s="64" t="s">
        <v>12</v>
      </c>
      <c r="D471" s="64">
        <v>1</v>
      </c>
      <c r="E471" s="64">
        <v>2</v>
      </c>
      <c r="F471" s="71" t="s">
        <v>296</v>
      </c>
      <c r="G471" s="64"/>
      <c r="H471" s="21"/>
      <c r="I471" s="21"/>
      <c r="J471" s="21"/>
      <c r="K471" s="21"/>
      <c r="L471" s="21"/>
      <c r="M471" s="21"/>
      <c r="N471" s="21"/>
    </row>
    <row r="472" spans="1:14" ht="40.5" x14ac:dyDescent="0.25">
      <c r="A472" s="151"/>
      <c r="B472" s="64"/>
      <c r="C472" s="64"/>
      <c r="D472" s="64"/>
      <c r="E472" s="64"/>
      <c r="F472" s="71" t="s">
        <v>177</v>
      </c>
      <c r="G472" s="64"/>
      <c r="H472" s="21"/>
      <c r="I472" s="21"/>
      <c r="J472" s="21"/>
      <c r="K472" s="21"/>
      <c r="L472" s="21"/>
      <c r="M472" s="21"/>
      <c r="N472" s="21"/>
    </row>
    <row r="473" spans="1:14" x14ac:dyDescent="0.25">
      <c r="A473" s="151"/>
      <c r="B473" s="64"/>
      <c r="C473" s="64"/>
      <c r="D473" s="64"/>
      <c r="E473" s="64"/>
      <c r="F473" s="71" t="s">
        <v>178</v>
      </c>
      <c r="G473" s="64"/>
      <c r="H473" s="21"/>
      <c r="I473" s="21"/>
      <c r="J473" s="21"/>
      <c r="K473" s="21"/>
      <c r="L473" s="21"/>
      <c r="M473" s="21"/>
      <c r="N473" s="21"/>
    </row>
    <row r="474" spans="1:14" ht="54" customHeight="1" x14ac:dyDescent="0.25">
      <c r="A474" s="151"/>
      <c r="B474" s="64"/>
      <c r="C474" s="64"/>
      <c r="D474" s="64"/>
      <c r="E474" s="64"/>
      <c r="F474" s="71" t="s">
        <v>178</v>
      </c>
      <c r="G474" s="64"/>
      <c r="H474" s="21"/>
      <c r="I474" s="21"/>
      <c r="J474" s="21"/>
      <c r="K474" s="21"/>
      <c r="L474" s="21"/>
      <c r="M474" s="21"/>
      <c r="N474" s="21"/>
    </row>
    <row r="475" spans="1:14" x14ac:dyDescent="0.25">
      <c r="A475" s="151"/>
      <c r="B475" s="64">
        <v>2713</v>
      </c>
      <c r="C475" s="64" t="s">
        <v>12</v>
      </c>
      <c r="D475" s="64">
        <v>1</v>
      </c>
      <c r="E475" s="64">
        <v>3</v>
      </c>
      <c r="F475" s="71" t="s">
        <v>297</v>
      </c>
      <c r="G475" s="64"/>
      <c r="H475" s="21"/>
      <c r="I475" s="21"/>
      <c r="J475" s="21"/>
      <c r="K475" s="21"/>
      <c r="L475" s="21"/>
      <c r="M475" s="21"/>
      <c r="N475" s="21"/>
    </row>
    <row r="476" spans="1:14" ht="40.5" x14ac:dyDescent="0.25">
      <c r="A476" s="151"/>
      <c r="B476" s="64"/>
      <c r="C476" s="64"/>
      <c r="D476" s="64"/>
      <c r="E476" s="64"/>
      <c r="F476" s="71" t="s">
        <v>177</v>
      </c>
      <c r="G476" s="64"/>
      <c r="H476" s="21"/>
      <c r="I476" s="21"/>
      <c r="J476" s="21"/>
      <c r="K476" s="21"/>
      <c r="L476" s="21"/>
      <c r="M476" s="21"/>
      <c r="N476" s="21"/>
    </row>
    <row r="477" spans="1:14" x14ac:dyDescent="0.25">
      <c r="A477" s="151"/>
      <c r="B477" s="64"/>
      <c r="C477" s="64"/>
      <c r="D477" s="64"/>
      <c r="E477" s="64"/>
      <c r="F477" s="71" t="s">
        <v>178</v>
      </c>
      <c r="G477" s="64"/>
      <c r="H477" s="21"/>
      <c r="I477" s="21"/>
      <c r="J477" s="21"/>
      <c r="K477" s="21"/>
      <c r="L477" s="21"/>
      <c r="M477" s="21"/>
      <c r="N477" s="21"/>
    </row>
    <row r="478" spans="1:14" x14ac:dyDescent="0.25">
      <c r="A478" s="151"/>
      <c r="B478" s="64"/>
      <c r="C478" s="64"/>
      <c r="D478" s="64"/>
      <c r="E478" s="64"/>
      <c r="F478" s="71" t="s">
        <v>178</v>
      </c>
      <c r="G478" s="64"/>
      <c r="H478" s="21"/>
      <c r="I478" s="21"/>
      <c r="J478" s="21"/>
      <c r="K478" s="21"/>
      <c r="L478" s="21"/>
      <c r="M478" s="21"/>
      <c r="N478" s="21"/>
    </row>
    <row r="479" spans="1:14" ht="33.75" customHeight="1" x14ac:dyDescent="0.25">
      <c r="A479" s="151"/>
      <c r="B479" s="64">
        <v>2720</v>
      </c>
      <c r="C479" s="64" t="s">
        <v>12</v>
      </c>
      <c r="D479" s="64">
        <v>2</v>
      </c>
      <c r="E479" s="64">
        <v>0</v>
      </c>
      <c r="F479" s="71" t="s">
        <v>298</v>
      </c>
      <c r="G479" s="64"/>
      <c r="H479" s="21"/>
      <c r="I479" s="21"/>
      <c r="J479" s="21"/>
      <c r="K479" s="21"/>
      <c r="L479" s="21"/>
      <c r="M479" s="21"/>
      <c r="N479" s="21"/>
    </row>
    <row r="480" spans="1:14" ht="53.25" customHeight="1" x14ac:dyDescent="0.25">
      <c r="A480" s="151"/>
      <c r="B480" s="64"/>
      <c r="C480" s="64"/>
      <c r="D480" s="64"/>
      <c r="E480" s="64"/>
      <c r="F480" s="71" t="s">
        <v>156</v>
      </c>
      <c r="G480" s="64"/>
      <c r="H480" s="21"/>
      <c r="I480" s="21"/>
      <c r="J480" s="21"/>
      <c r="K480" s="21"/>
      <c r="L480" s="21"/>
      <c r="M480" s="21"/>
      <c r="N480" s="21"/>
    </row>
    <row r="481" spans="1:14" x14ac:dyDescent="0.25">
      <c r="A481" s="151"/>
      <c r="B481" s="64">
        <v>2721</v>
      </c>
      <c r="C481" s="64" t="s">
        <v>12</v>
      </c>
      <c r="D481" s="64">
        <v>2</v>
      </c>
      <c r="E481" s="64">
        <v>1</v>
      </c>
      <c r="F481" s="71" t="s">
        <v>299</v>
      </c>
      <c r="G481" s="64"/>
      <c r="H481" s="21"/>
      <c r="I481" s="21"/>
      <c r="J481" s="21"/>
      <c r="K481" s="21"/>
      <c r="L481" s="21"/>
      <c r="M481" s="21"/>
      <c r="N481" s="21"/>
    </row>
    <row r="482" spans="1:14" ht="40.5" x14ac:dyDescent="0.25">
      <c r="A482" s="151"/>
      <c r="B482" s="64"/>
      <c r="C482" s="64"/>
      <c r="D482" s="64"/>
      <c r="E482" s="64"/>
      <c r="F482" s="71" t="s">
        <v>177</v>
      </c>
      <c r="G482" s="64"/>
      <c r="H482" s="21"/>
      <c r="I482" s="21"/>
      <c r="J482" s="21"/>
      <c r="K482" s="21"/>
      <c r="L482" s="21"/>
      <c r="M482" s="21"/>
      <c r="N482" s="21"/>
    </row>
    <row r="483" spans="1:14" x14ac:dyDescent="0.25">
      <c r="A483" s="151"/>
      <c r="B483" s="64"/>
      <c r="C483" s="64"/>
      <c r="D483" s="64"/>
      <c r="E483" s="64"/>
      <c r="F483" s="71" t="s">
        <v>178</v>
      </c>
      <c r="G483" s="64"/>
      <c r="H483" s="21"/>
      <c r="I483" s="21"/>
      <c r="J483" s="21"/>
      <c r="K483" s="21"/>
      <c r="L483" s="21"/>
      <c r="M483" s="21"/>
      <c r="N483" s="21"/>
    </row>
    <row r="484" spans="1:14" ht="51.75" customHeight="1" x14ac:dyDescent="0.25">
      <c r="A484" s="151"/>
      <c r="B484" s="64"/>
      <c r="C484" s="64"/>
      <c r="D484" s="64"/>
      <c r="E484" s="64"/>
      <c r="F484" s="71" t="s">
        <v>178</v>
      </c>
      <c r="G484" s="64"/>
      <c r="H484" s="21"/>
      <c r="I484" s="21"/>
      <c r="J484" s="21"/>
      <c r="K484" s="21"/>
      <c r="L484" s="21"/>
      <c r="M484" s="21"/>
      <c r="N484" s="21"/>
    </row>
    <row r="485" spans="1:14" x14ac:dyDescent="0.25">
      <c r="A485" s="151"/>
      <c r="B485" s="64">
        <v>2722</v>
      </c>
      <c r="C485" s="64" t="s">
        <v>12</v>
      </c>
      <c r="D485" s="64">
        <v>2</v>
      </c>
      <c r="E485" s="64">
        <v>2</v>
      </c>
      <c r="F485" s="71" t="s">
        <v>300</v>
      </c>
      <c r="G485" s="64"/>
      <c r="H485" s="21"/>
      <c r="I485" s="21"/>
      <c r="J485" s="21"/>
      <c r="K485" s="21"/>
      <c r="L485" s="21"/>
      <c r="M485" s="21"/>
      <c r="N485" s="21"/>
    </row>
    <row r="486" spans="1:14" ht="40.5" x14ac:dyDescent="0.25">
      <c r="A486" s="151"/>
      <c r="B486" s="64"/>
      <c r="C486" s="64"/>
      <c r="D486" s="64"/>
      <c r="E486" s="64"/>
      <c r="F486" s="71" t="s">
        <v>177</v>
      </c>
      <c r="G486" s="64"/>
      <c r="H486" s="21"/>
      <c r="I486" s="21"/>
      <c r="J486" s="21"/>
      <c r="K486" s="21"/>
      <c r="L486" s="21"/>
      <c r="M486" s="21"/>
      <c r="N486" s="21"/>
    </row>
    <row r="487" spans="1:14" x14ac:dyDescent="0.25">
      <c r="A487" s="151"/>
      <c r="B487" s="64"/>
      <c r="C487" s="64"/>
      <c r="D487" s="64"/>
      <c r="E487" s="64"/>
      <c r="F487" s="71" t="s">
        <v>178</v>
      </c>
      <c r="G487" s="64"/>
      <c r="H487" s="21"/>
      <c r="I487" s="21"/>
      <c r="J487" s="21"/>
      <c r="K487" s="21"/>
      <c r="L487" s="21"/>
      <c r="M487" s="21"/>
      <c r="N487" s="21"/>
    </row>
    <row r="488" spans="1:14" ht="53.25" customHeight="1" x14ac:dyDescent="0.25">
      <c r="A488" s="151"/>
      <c r="B488" s="64"/>
      <c r="C488" s="64"/>
      <c r="D488" s="64"/>
      <c r="E488" s="64"/>
      <c r="F488" s="71" t="s">
        <v>178</v>
      </c>
      <c r="G488" s="64"/>
      <c r="H488" s="21"/>
      <c r="I488" s="21"/>
      <c r="J488" s="21"/>
      <c r="K488" s="21"/>
      <c r="L488" s="21"/>
      <c r="M488" s="21"/>
      <c r="N488" s="21"/>
    </row>
    <row r="489" spans="1:14" x14ac:dyDescent="0.25">
      <c r="A489" s="151"/>
      <c r="B489" s="64">
        <v>2723</v>
      </c>
      <c r="C489" s="64" t="s">
        <v>12</v>
      </c>
      <c r="D489" s="64">
        <v>2</v>
      </c>
      <c r="E489" s="64">
        <v>3</v>
      </c>
      <c r="F489" s="71" t="s">
        <v>301</v>
      </c>
      <c r="G489" s="64"/>
      <c r="H489" s="21"/>
      <c r="I489" s="21"/>
      <c r="J489" s="21"/>
      <c r="K489" s="21"/>
      <c r="L489" s="21"/>
      <c r="M489" s="21"/>
      <c r="N489" s="21"/>
    </row>
    <row r="490" spans="1:14" ht="40.5" x14ac:dyDescent="0.25">
      <c r="A490" s="151"/>
      <c r="B490" s="64"/>
      <c r="C490" s="64"/>
      <c r="D490" s="64"/>
      <c r="E490" s="64"/>
      <c r="F490" s="71" t="s">
        <v>177</v>
      </c>
      <c r="G490" s="64"/>
      <c r="H490" s="21"/>
      <c r="I490" s="21"/>
      <c r="J490" s="21"/>
      <c r="K490" s="21"/>
      <c r="L490" s="21"/>
      <c r="M490" s="21"/>
      <c r="N490" s="21"/>
    </row>
    <row r="491" spans="1:14" x14ac:dyDescent="0.25">
      <c r="A491" s="151"/>
      <c r="B491" s="64"/>
      <c r="C491" s="64"/>
      <c r="D491" s="64"/>
      <c r="E491" s="64"/>
      <c r="F491" s="71" t="s">
        <v>178</v>
      </c>
      <c r="G491" s="64"/>
      <c r="H491" s="21"/>
      <c r="I491" s="21"/>
      <c r="J491" s="21"/>
      <c r="K491" s="21"/>
      <c r="L491" s="21"/>
      <c r="M491" s="21"/>
      <c r="N491" s="21"/>
    </row>
    <row r="492" spans="1:14" ht="54.75" customHeight="1" x14ac:dyDescent="0.25">
      <c r="A492" s="151"/>
      <c r="B492" s="64"/>
      <c r="C492" s="64"/>
      <c r="D492" s="64"/>
      <c r="E492" s="64"/>
      <c r="F492" s="71" t="s">
        <v>178</v>
      </c>
      <c r="G492" s="64"/>
      <c r="H492" s="21"/>
      <c r="I492" s="21"/>
      <c r="J492" s="21"/>
      <c r="K492" s="21"/>
      <c r="L492" s="21"/>
      <c r="M492" s="21"/>
      <c r="N492" s="21"/>
    </row>
    <row r="493" spans="1:14" x14ac:dyDescent="0.25">
      <c r="A493" s="151"/>
      <c r="B493" s="64">
        <v>2724</v>
      </c>
      <c r="C493" s="64" t="s">
        <v>12</v>
      </c>
      <c r="D493" s="64">
        <v>2</v>
      </c>
      <c r="E493" s="64">
        <v>4</v>
      </c>
      <c r="F493" s="71" t="s">
        <v>302</v>
      </c>
      <c r="G493" s="64"/>
      <c r="H493" s="21"/>
      <c r="I493" s="21"/>
      <c r="J493" s="21"/>
      <c r="K493" s="21"/>
      <c r="L493" s="21"/>
      <c r="M493" s="21"/>
      <c r="N493" s="21"/>
    </row>
    <row r="494" spans="1:14" ht="40.5" x14ac:dyDescent="0.25">
      <c r="A494" s="151"/>
      <c r="B494" s="64"/>
      <c r="C494" s="64"/>
      <c r="D494" s="64"/>
      <c r="E494" s="64"/>
      <c r="F494" s="71" t="s">
        <v>177</v>
      </c>
      <c r="G494" s="64"/>
      <c r="H494" s="21"/>
      <c r="I494" s="21"/>
      <c r="J494" s="21"/>
      <c r="K494" s="21"/>
      <c r="L494" s="21"/>
      <c r="M494" s="21"/>
      <c r="N494" s="21"/>
    </row>
    <row r="495" spans="1:14" x14ac:dyDescent="0.25">
      <c r="A495" s="151"/>
      <c r="B495" s="64"/>
      <c r="C495" s="64"/>
      <c r="D495" s="64"/>
      <c r="E495" s="64"/>
      <c r="F495" s="71" t="s">
        <v>178</v>
      </c>
      <c r="G495" s="64"/>
      <c r="H495" s="21"/>
      <c r="I495" s="21"/>
      <c r="J495" s="21"/>
      <c r="K495" s="21"/>
      <c r="L495" s="21"/>
      <c r="M495" s="21"/>
      <c r="N495" s="21"/>
    </row>
    <row r="496" spans="1:14" x14ac:dyDescent="0.25">
      <c r="A496" s="151"/>
      <c r="B496" s="64"/>
      <c r="C496" s="64"/>
      <c r="D496" s="64"/>
      <c r="E496" s="64"/>
      <c r="F496" s="71" t="s">
        <v>178</v>
      </c>
      <c r="G496" s="64"/>
      <c r="H496" s="21"/>
      <c r="I496" s="21"/>
      <c r="J496" s="21"/>
      <c r="K496" s="21"/>
      <c r="L496" s="21"/>
      <c r="M496" s="21"/>
      <c r="N496" s="21"/>
    </row>
    <row r="497" spans="1:14" ht="40.5" customHeight="1" x14ac:dyDescent="0.25">
      <c r="A497" s="151"/>
      <c r="B497" s="64">
        <v>2730</v>
      </c>
      <c r="C497" s="64" t="s">
        <v>12</v>
      </c>
      <c r="D497" s="64">
        <v>3</v>
      </c>
      <c r="E497" s="64">
        <v>0</v>
      </c>
      <c r="F497" s="71" t="s">
        <v>303</v>
      </c>
      <c r="G497" s="64"/>
      <c r="H497" s="21"/>
      <c r="I497" s="21"/>
      <c r="J497" s="21"/>
      <c r="K497" s="21"/>
      <c r="L497" s="21"/>
      <c r="M497" s="21"/>
      <c r="N497" s="21"/>
    </row>
    <row r="498" spans="1:14" ht="52.5" customHeight="1" x14ac:dyDescent="0.25">
      <c r="A498" s="151"/>
      <c r="B498" s="64"/>
      <c r="C498" s="64"/>
      <c r="D498" s="64"/>
      <c r="E498" s="64"/>
      <c r="F498" s="71" t="s">
        <v>156</v>
      </c>
      <c r="G498" s="64"/>
      <c r="H498" s="21"/>
      <c r="I498" s="21"/>
      <c r="J498" s="21"/>
      <c r="K498" s="21"/>
      <c r="L498" s="21"/>
      <c r="M498" s="21"/>
      <c r="N498" s="21"/>
    </row>
    <row r="499" spans="1:14" ht="27" x14ac:dyDescent="0.25">
      <c r="A499" s="151"/>
      <c r="B499" s="64">
        <v>2731</v>
      </c>
      <c r="C499" s="64" t="s">
        <v>12</v>
      </c>
      <c r="D499" s="64">
        <v>3</v>
      </c>
      <c r="E499" s="64">
        <v>1</v>
      </c>
      <c r="F499" s="71" t="s">
        <v>304</v>
      </c>
      <c r="G499" s="64"/>
      <c r="H499" s="21"/>
      <c r="I499" s="21"/>
      <c r="J499" s="21"/>
      <c r="K499" s="21"/>
      <c r="L499" s="21"/>
      <c r="M499" s="21"/>
      <c r="N499" s="21"/>
    </row>
    <row r="500" spans="1:14" ht="40.5" x14ac:dyDescent="0.25">
      <c r="A500" s="151"/>
      <c r="B500" s="64"/>
      <c r="C500" s="64"/>
      <c r="D500" s="64"/>
      <c r="E500" s="64"/>
      <c r="F500" s="71" t="s">
        <v>177</v>
      </c>
      <c r="G500" s="64"/>
      <c r="H500" s="21"/>
      <c r="I500" s="21"/>
      <c r="J500" s="21"/>
      <c r="K500" s="21"/>
      <c r="L500" s="21"/>
      <c r="M500" s="21"/>
      <c r="N500" s="21"/>
    </row>
    <row r="501" spans="1:14" ht="37.5" customHeight="1" x14ac:dyDescent="0.25">
      <c r="A501" s="151"/>
      <c r="B501" s="64"/>
      <c r="C501" s="64"/>
      <c r="D501" s="64"/>
      <c r="E501" s="64"/>
      <c r="F501" s="71" t="s">
        <v>178</v>
      </c>
      <c r="G501" s="64"/>
      <c r="H501" s="21"/>
      <c r="I501" s="21"/>
      <c r="J501" s="21"/>
      <c r="K501" s="21"/>
      <c r="L501" s="21"/>
      <c r="M501" s="21"/>
      <c r="N501" s="21"/>
    </row>
    <row r="502" spans="1:14" ht="57" customHeight="1" x14ac:dyDescent="0.25">
      <c r="A502" s="151"/>
      <c r="B502" s="64"/>
      <c r="C502" s="64"/>
      <c r="D502" s="64"/>
      <c r="E502" s="64"/>
      <c r="F502" s="71" t="s">
        <v>178</v>
      </c>
      <c r="G502" s="64"/>
      <c r="H502" s="21"/>
      <c r="I502" s="21"/>
      <c r="J502" s="21"/>
      <c r="K502" s="21"/>
      <c r="L502" s="21"/>
      <c r="M502" s="21"/>
      <c r="N502" s="21"/>
    </row>
    <row r="503" spans="1:14" ht="27" x14ac:dyDescent="0.25">
      <c r="A503" s="151"/>
      <c r="B503" s="64">
        <v>2732</v>
      </c>
      <c r="C503" s="64" t="s">
        <v>12</v>
      </c>
      <c r="D503" s="64">
        <v>3</v>
      </c>
      <c r="E503" s="64">
        <v>2</v>
      </c>
      <c r="F503" s="71" t="s">
        <v>305</v>
      </c>
      <c r="G503" s="64"/>
      <c r="H503" s="21"/>
      <c r="I503" s="21"/>
      <c r="J503" s="21"/>
      <c r="K503" s="21"/>
      <c r="L503" s="21"/>
      <c r="M503" s="21"/>
      <c r="N503" s="21"/>
    </row>
    <row r="504" spans="1:14" ht="40.5" x14ac:dyDescent="0.25">
      <c r="A504" s="151"/>
      <c r="B504" s="64"/>
      <c r="C504" s="64"/>
      <c r="D504" s="64"/>
      <c r="E504" s="64"/>
      <c r="F504" s="71" t="s">
        <v>177</v>
      </c>
      <c r="G504" s="64"/>
      <c r="H504" s="21"/>
      <c r="I504" s="21"/>
      <c r="J504" s="21"/>
      <c r="K504" s="21"/>
      <c r="L504" s="21"/>
      <c r="M504" s="21"/>
      <c r="N504" s="21"/>
    </row>
    <row r="505" spans="1:14" ht="33.75" customHeight="1" x14ac:dyDescent="0.25">
      <c r="A505" s="151"/>
      <c r="B505" s="64"/>
      <c r="C505" s="64"/>
      <c r="D505" s="64"/>
      <c r="E505" s="64"/>
      <c r="F505" s="71" t="s">
        <v>178</v>
      </c>
      <c r="G505" s="64"/>
      <c r="H505" s="21"/>
      <c r="I505" s="21"/>
      <c r="J505" s="21"/>
      <c r="K505" s="21"/>
      <c r="L505" s="21"/>
      <c r="M505" s="21"/>
      <c r="N505" s="21"/>
    </row>
    <row r="506" spans="1:14" ht="53.25" customHeight="1" x14ac:dyDescent="0.25">
      <c r="A506" s="151"/>
      <c r="B506" s="64"/>
      <c r="C506" s="64"/>
      <c r="D506" s="64"/>
      <c r="E506" s="64"/>
      <c r="F506" s="71" t="s">
        <v>178</v>
      </c>
      <c r="G506" s="64"/>
      <c r="H506" s="21"/>
      <c r="I506" s="21"/>
      <c r="J506" s="21"/>
      <c r="K506" s="21"/>
      <c r="L506" s="21"/>
      <c r="M506" s="21"/>
      <c r="N506" s="21"/>
    </row>
    <row r="507" spans="1:14" ht="27" x14ac:dyDescent="0.25">
      <c r="A507" s="151"/>
      <c r="B507" s="64">
        <v>2733</v>
      </c>
      <c r="C507" s="64" t="s">
        <v>12</v>
      </c>
      <c r="D507" s="64">
        <v>3</v>
      </c>
      <c r="E507" s="64">
        <v>3</v>
      </c>
      <c r="F507" s="71" t="s">
        <v>306</v>
      </c>
      <c r="G507" s="64"/>
      <c r="H507" s="21"/>
      <c r="I507" s="21"/>
      <c r="J507" s="21"/>
      <c r="K507" s="21"/>
      <c r="L507" s="21"/>
      <c r="M507" s="21"/>
      <c r="N507" s="21"/>
    </row>
    <row r="508" spans="1:14" ht="40.5" x14ac:dyDescent="0.25">
      <c r="A508" s="151"/>
      <c r="B508" s="64"/>
      <c r="C508" s="64"/>
      <c r="D508" s="64"/>
      <c r="E508" s="64"/>
      <c r="F508" s="71" t="s">
        <v>177</v>
      </c>
      <c r="G508" s="64"/>
      <c r="H508" s="21"/>
      <c r="I508" s="21"/>
      <c r="J508" s="21"/>
      <c r="K508" s="21"/>
      <c r="L508" s="21"/>
      <c r="M508" s="21"/>
      <c r="N508" s="21"/>
    </row>
    <row r="509" spans="1:14" ht="40.5" customHeight="1" x14ac:dyDescent="0.25">
      <c r="A509" s="151"/>
      <c r="B509" s="64"/>
      <c r="C509" s="64"/>
      <c r="D509" s="64"/>
      <c r="E509" s="64"/>
      <c r="F509" s="71" t="s">
        <v>178</v>
      </c>
      <c r="G509" s="64"/>
      <c r="H509" s="21"/>
      <c r="I509" s="21"/>
      <c r="J509" s="21"/>
      <c r="K509" s="21"/>
      <c r="L509" s="21"/>
      <c r="M509" s="21"/>
      <c r="N509" s="21"/>
    </row>
    <row r="510" spans="1:14" ht="52.5" customHeight="1" x14ac:dyDescent="0.25">
      <c r="A510" s="151"/>
      <c r="B510" s="64"/>
      <c r="C510" s="64"/>
      <c r="D510" s="64"/>
      <c r="E510" s="64"/>
      <c r="F510" s="71" t="s">
        <v>178</v>
      </c>
      <c r="G510" s="64"/>
      <c r="H510" s="21"/>
      <c r="I510" s="21"/>
      <c r="J510" s="21"/>
      <c r="K510" s="21"/>
      <c r="L510" s="21"/>
      <c r="M510" s="21"/>
      <c r="N510" s="21"/>
    </row>
    <row r="511" spans="1:14" ht="27" x14ac:dyDescent="0.25">
      <c r="A511" s="151"/>
      <c r="B511" s="64">
        <v>2734</v>
      </c>
      <c r="C511" s="64" t="s">
        <v>12</v>
      </c>
      <c r="D511" s="64">
        <v>3</v>
      </c>
      <c r="E511" s="64">
        <v>4</v>
      </c>
      <c r="F511" s="71" t="s">
        <v>307</v>
      </c>
      <c r="G511" s="64"/>
      <c r="H511" s="21"/>
      <c r="I511" s="21"/>
      <c r="J511" s="21"/>
      <c r="K511" s="21"/>
      <c r="L511" s="21"/>
      <c r="M511" s="21"/>
      <c r="N511" s="21"/>
    </row>
    <row r="512" spans="1:14" ht="40.5" x14ac:dyDescent="0.25">
      <c r="A512" s="151"/>
      <c r="B512" s="64"/>
      <c r="C512" s="64"/>
      <c r="D512" s="64"/>
      <c r="E512" s="64"/>
      <c r="F512" s="71" t="s">
        <v>177</v>
      </c>
      <c r="G512" s="64"/>
      <c r="H512" s="21"/>
      <c r="I512" s="21"/>
      <c r="J512" s="21"/>
      <c r="K512" s="21"/>
      <c r="L512" s="21"/>
      <c r="M512" s="21"/>
      <c r="N512" s="21"/>
    </row>
    <row r="513" spans="1:14" x14ac:dyDescent="0.25">
      <c r="A513" s="151"/>
      <c r="B513" s="64"/>
      <c r="C513" s="64"/>
      <c r="D513" s="64"/>
      <c r="E513" s="64"/>
      <c r="F513" s="71" t="s">
        <v>178</v>
      </c>
      <c r="G513" s="64"/>
      <c r="H513" s="21"/>
      <c r="I513" s="21"/>
      <c r="J513" s="21"/>
      <c r="K513" s="21"/>
      <c r="L513" s="21"/>
      <c r="M513" s="21"/>
      <c r="N513" s="21"/>
    </row>
    <row r="514" spans="1:14" x14ac:dyDescent="0.25">
      <c r="A514" s="151"/>
      <c r="B514" s="64"/>
      <c r="C514" s="64"/>
      <c r="D514" s="64"/>
      <c r="E514" s="64"/>
      <c r="F514" s="71" t="s">
        <v>178</v>
      </c>
      <c r="G514" s="64"/>
      <c r="H514" s="21"/>
      <c r="I514" s="21"/>
      <c r="J514" s="21"/>
      <c r="K514" s="21"/>
      <c r="L514" s="21"/>
      <c r="M514" s="21"/>
      <c r="N514" s="21"/>
    </row>
    <row r="515" spans="1:14" x14ac:dyDescent="0.25">
      <c r="A515" s="151"/>
      <c r="B515" s="64">
        <v>2740</v>
      </c>
      <c r="C515" s="64" t="s">
        <v>12</v>
      </c>
      <c r="D515" s="64">
        <v>4</v>
      </c>
      <c r="E515" s="64">
        <v>0</v>
      </c>
      <c r="F515" s="71" t="s">
        <v>308</v>
      </c>
      <c r="G515" s="64"/>
      <c r="H515" s="21"/>
      <c r="I515" s="21"/>
      <c r="J515" s="21"/>
      <c r="K515" s="21"/>
      <c r="L515" s="21"/>
      <c r="M515" s="21"/>
      <c r="N515" s="21"/>
    </row>
    <row r="516" spans="1:14" ht="53.25" customHeight="1" x14ac:dyDescent="0.25">
      <c r="A516" s="151"/>
      <c r="B516" s="64"/>
      <c r="C516" s="64"/>
      <c r="D516" s="64"/>
      <c r="E516" s="64"/>
      <c r="F516" s="71" t="s">
        <v>156</v>
      </c>
      <c r="G516" s="64"/>
      <c r="H516" s="21"/>
      <c r="I516" s="21"/>
      <c r="J516" s="21"/>
      <c r="K516" s="21"/>
      <c r="L516" s="21"/>
      <c r="M516" s="21"/>
      <c r="N516" s="21"/>
    </row>
    <row r="517" spans="1:14" x14ac:dyDescent="0.25">
      <c r="A517" s="151"/>
      <c r="B517" s="64">
        <v>2741</v>
      </c>
      <c r="C517" s="64" t="s">
        <v>12</v>
      </c>
      <c r="D517" s="64">
        <v>4</v>
      </c>
      <c r="E517" s="64">
        <v>1</v>
      </c>
      <c r="F517" s="71" t="s">
        <v>308</v>
      </c>
      <c r="G517" s="64"/>
      <c r="H517" s="21"/>
      <c r="I517" s="21"/>
      <c r="J517" s="21"/>
      <c r="K517" s="21"/>
      <c r="L517" s="21"/>
      <c r="M517" s="21"/>
      <c r="N517" s="21"/>
    </row>
    <row r="518" spans="1:14" ht="40.5" x14ac:dyDescent="0.25">
      <c r="A518" s="151"/>
      <c r="B518" s="64"/>
      <c r="C518" s="64"/>
      <c r="D518" s="64"/>
      <c r="E518" s="64"/>
      <c r="F518" s="71" t="s">
        <v>177</v>
      </c>
      <c r="G518" s="64"/>
      <c r="H518" s="21"/>
      <c r="I518" s="21"/>
      <c r="J518" s="21"/>
      <c r="K518" s="21"/>
      <c r="L518" s="21"/>
      <c r="M518" s="21"/>
      <c r="N518" s="21"/>
    </row>
    <row r="519" spans="1:14" ht="39.75" customHeight="1" x14ac:dyDescent="0.25">
      <c r="A519" s="151"/>
      <c r="B519" s="64"/>
      <c r="C519" s="64"/>
      <c r="D519" s="64"/>
      <c r="E519" s="64"/>
      <c r="F519" s="71" t="s">
        <v>178</v>
      </c>
      <c r="G519" s="64"/>
      <c r="H519" s="21"/>
      <c r="I519" s="21"/>
      <c r="J519" s="21"/>
      <c r="K519" s="21"/>
      <c r="L519" s="21"/>
      <c r="M519" s="21"/>
      <c r="N519" s="21"/>
    </row>
    <row r="520" spans="1:14" x14ac:dyDescent="0.25">
      <c r="A520" s="151"/>
      <c r="B520" s="64"/>
      <c r="C520" s="64"/>
      <c r="D520" s="64"/>
      <c r="E520" s="64"/>
      <c r="F520" s="71" t="s">
        <v>178</v>
      </c>
      <c r="G520" s="64"/>
      <c r="H520" s="21"/>
      <c r="I520" s="21"/>
      <c r="J520" s="21"/>
      <c r="K520" s="21"/>
      <c r="L520" s="21"/>
      <c r="M520" s="21"/>
      <c r="N520" s="21"/>
    </row>
    <row r="521" spans="1:14" ht="42.75" customHeight="1" x14ac:dyDescent="0.25">
      <c r="A521" s="151"/>
      <c r="B521" s="64">
        <v>2750</v>
      </c>
      <c r="C521" s="64" t="s">
        <v>12</v>
      </c>
      <c r="D521" s="64">
        <v>5</v>
      </c>
      <c r="E521" s="64">
        <v>0</v>
      </c>
      <c r="F521" s="71" t="s">
        <v>309</v>
      </c>
      <c r="G521" s="64"/>
      <c r="H521" s="21"/>
      <c r="I521" s="21"/>
      <c r="J521" s="21"/>
      <c r="K521" s="21"/>
      <c r="L521" s="21"/>
      <c r="M521" s="21"/>
      <c r="N521" s="21"/>
    </row>
    <row r="522" spans="1:14" ht="51" customHeight="1" x14ac:dyDescent="0.25">
      <c r="A522" s="151"/>
      <c r="B522" s="64"/>
      <c r="C522" s="64"/>
      <c r="D522" s="64"/>
      <c r="E522" s="64"/>
      <c r="F522" s="71" t="s">
        <v>156</v>
      </c>
      <c r="G522" s="64"/>
      <c r="H522" s="21"/>
      <c r="I522" s="21"/>
      <c r="J522" s="21"/>
      <c r="K522" s="21"/>
      <c r="L522" s="21"/>
      <c r="M522" s="21"/>
      <c r="N522" s="21"/>
    </row>
    <row r="523" spans="1:14" ht="27" x14ac:dyDescent="0.25">
      <c r="A523" s="151"/>
      <c r="B523" s="64">
        <v>2751</v>
      </c>
      <c r="C523" s="64" t="s">
        <v>12</v>
      </c>
      <c r="D523" s="64">
        <v>5</v>
      </c>
      <c r="E523" s="64">
        <v>1</v>
      </c>
      <c r="F523" s="71" t="s">
        <v>309</v>
      </c>
      <c r="G523" s="64"/>
      <c r="H523" s="21"/>
      <c r="I523" s="21"/>
      <c r="J523" s="21"/>
      <c r="K523" s="21"/>
      <c r="L523" s="21"/>
      <c r="M523" s="21"/>
      <c r="N523" s="21"/>
    </row>
    <row r="524" spans="1:14" ht="40.5" x14ac:dyDescent="0.25">
      <c r="A524" s="151"/>
      <c r="B524" s="64"/>
      <c r="C524" s="64"/>
      <c r="D524" s="64"/>
      <c r="E524" s="64"/>
      <c r="F524" s="71" t="s">
        <v>177</v>
      </c>
      <c r="G524" s="64"/>
      <c r="H524" s="21"/>
      <c r="I524" s="21"/>
      <c r="J524" s="21"/>
      <c r="K524" s="21"/>
      <c r="L524" s="21"/>
      <c r="M524" s="21"/>
      <c r="N524" s="21"/>
    </row>
    <row r="525" spans="1:14" x14ac:dyDescent="0.25">
      <c r="A525" s="151"/>
      <c r="B525" s="64"/>
      <c r="C525" s="64"/>
      <c r="D525" s="64"/>
      <c r="E525" s="64"/>
      <c r="F525" s="71" t="s">
        <v>178</v>
      </c>
      <c r="G525" s="64"/>
      <c r="H525" s="21"/>
      <c r="I525" s="21"/>
      <c r="J525" s="21"/>
      <c r="K525" s="21"/>
      <c r="L525" s="21"/>
      <c r="M525" s="21"/>
      <c r="N525" s="21"/>
    </row>
    <row r="526" spans="1:14" x14ac:dyDescent="0.25">
      <c r="A526" s="151"/>
      <c r="B526" s="64"/>
      <c r="C526" s="64"/>
      <c r="D526" s="64"/>
      <c r="E526" s="64"/>
      <c r="F526" s="71" t="s">
        <v>178</v>
      </c>
      <c r="G526" s="64"/>
      <c r="H526" s="21"/>
      <c r="I526" s="21"/>
      <c r="J526" s="21"/>
      <c r="K526" s="21"/>
      <c r="L526" s="21"/>
      <c r="M526" s="21"/>
      <c r="N526" s="21"/>
    </row>
    <row r="527" spans="1:14" ht="39" customHeight="1" x14ac:dyDescent="0.25">
      <c r="A527" s="151"/>
      <c r="B527" s="64">
        <v>2760</v>
      </c>
      <c r="C527" s="64" t="s">
        <v>12</v>
      </c>
      <c r="D527" s="64">
        <v>6</v>
      </c>
      <c r="E527" s="64">
        <v>0</v>
      </c>
      <c r="F527" s="71" t="s">
        <v>310</v>
      </c>
      <c r="G527" s="64"/>
      <c r="H527" s="21"/>
      <c r="I527" s="21"/>
      <c r="J527" s="21"/>
      <c r="K527" s="21"/>
      <c r="L527" s="21"/>
      <c r="M527" s="21"/>
      <c r="N527" s="21"/>
    </row>
    <row r="528" spans="1:14" ht="51" customHeight="1" x14ac:dyDescent="0.25">
      <c r="A528" s="151"/>
      <c r="B528" s="64"/>
      <c r="C528" s="64"/>
      <c r="D528" s="64"/>
      <c r="E528" s="64"/>
      <c r="F528" s="71" t="s">
        <v>156</v>
      </c>
      <c r="G528" s="64"/>
      <c r="H528" s="21"/>
      <c r="I528" s="21"/>
      <c r="J528" s="21"/>
      <c r="K528" s="21"/>
      <c r="L528" s="21"/>
      <c r="M528" s="21"/>
      <c r="N528" s="21"/>
    </row>
    <row r="529" spans="1:14" ht="27" x14ac:dyDescent="0.25">
      <c r="A529" s="151"/>
      <c r="B529" s="64">
        <v>2761</v>
      </c>
      <c r="C529" s="64" t="s">
        <v>12</v>
      </c>
      <c r="D529" s="64">
        <v>6</v>
      </c>
      <c r="E529" s="64">
        <v>1</v>
      </c>
      <c r="F529" s="71" t="s">
        <v>311</v>
      </c>
      <c r="G529" s="64"/>
      <c r="H529" s="21"/>
      <c r="I529" s="21"/>
      <c r="J529" s="21"/>
      <c r="K529" s="21"/>
      <c r="L529" s="21"/>
      <c r="M529" s="21"/>
      <c r="N529" s="21"/>
    </row>
    <row r="530" spans="1:14" ht="40.5" x14ac:dyDescent="0.25">
      <c r="A530" s="151"/>
      <c r="B530" s="64"/>
      <c r="C530" s="64"/>
      <c r="D530" s="64"/>
      <c r="E530" s="64"/>
      <c r="F530" s="71" t="s">
        <v>177</v>
      </c>
      <c r="G530" s="64"/>
      <c r="H530" s="21"/>
      <c r="I530" s="21"/>
      <c r="J530" s="21"/>
      <c r="K530" s="21"/>
      <c r="L530" s="21"/>
      <c r="M530" s="21"/>
      <c r="N530" s="21"/>
    </row>
    <row r="531" spans="1:14" x14ac:dyDescent="0.25">
      <c r="A531" s="151"/>
      <c r="B531" s="64"/>
      <c r="C531" s="64"/>
      <c r="D531" s="64"/>
      <c r="E531" s="64"/>
      <c r="F531" s="71" t="s">
        <v>178</v>
      </c>
      <c r="G531" s="64"/>
      <c r="H531" s="21"/>
      <c r="I531" s="21"/>
      <c r="J531" s="21"/>
      <c r="K531" s="21"/>
      <c r="L531" s="21"/>
      <c r="M531" s="21"/>
      <c r="N531" s="21"/>
    </row>
    <row r="532" spans="1:14" ht="57.75" customHeight="1" x14ac:dyDescent="0.25">
      <c r="A532" s="151"/>
      <c r="B532" s="64"/>
      <c r="C532" s="64"/>
      <c r="D532" s="64"/>
      <c r="E532" s="64"/>
      <c r="F532" s="71" t="s">
        <v>178</v>
      </c>
      <c r="G532" s="64"/>
      <c r="H532" s="21"/>
      <c r="I532" s="21"/>
      <c r="J532" s="21"/>
      <c r="K532" s="21"/>
      <c r="L532" s="21"/>
      <c r="M532" s="21"/>
      <c r="N532" s="21"/>
    </row>
    <row r="533" spans="1:14" x14ac:dyDescent="0.25">
      <c r="A533" s="151"/>
      <c r="B533" s="64">
        <v>2762</v>
      </c>
      <c r="C533" s="64" t="s">
        <v>12</v>
      </c>
      <c r="D533" s="64">
        <v>6</v>
      </c>
      <c r="E533" s="64">
        <v>2</v>
      </c>
      <c r="F533" s="71" t="s">
        <v>310</v>
      </c>
      <c r="G533" s="64"/>
      <c r="H533" s="21"/>
      <c r="I533" s="21"/>
      <c r="J533" s="21"/>
      <c r="K533" s="21"/>
      <c r="L533" s="21"/>
      <c r="M533" s="21"/>
      <c r="N533" s="21"/>
    </row>
    <row r="534" spans="1:14" ht="40.5" x14ac:dyDescent="0.25">
      <c r="A534" s="151"/>
      <c r="B534" s="64"/>
      <c r="C534" s="64"/>
      <c r="D534" s="64"/>
      <c r="E534" s="64"/>
      <c r="F534" s="71" t="s">
        <v>177</v>
      </c>
      <c r="G534" s="64"/>
      <c r="H534" s="21"/>
      <c r="I534" s="21"/>
      <c r="J534" s="21"/>
      <c r="K534" s="21"/>
      <c r="L534" s="21"/>
      <c r="M534" s="21"/>
      <c r="N534" s="21"/>
    </row>
    <row r="535" spans="1:14" ht="60.75" customHeight="1" x14ac:dyDescent="0.25">
      <c r="A535" s="151"/>
      <c r="B535" s="64"/>
      <c r="C535" s="64"/>
      <c r="D535" s="64"/>
      <c r="E535" s="64"/>
      <c r="F535" s="71" t="s">
        <v>178</v>
      </c>
      <c r="G535" s="64"/>
      <c r="H535" s="21"/>
      <c r="I535" s="21"/>
      <c r="J535" s="21"/>
      <c r="K535" s="21"/>
      <c r="L535" s="21"/>
      <c r="M535" s="21"/>
      <c r="N535" s="21"/>
    </row>
    <row r="536" spans="1:14" x14ac:dyDescent="0.25">
      <c r="A536" s="151"/>
      <c r="B536" s="64"/>
      <c r="C536" s="64"/>
      <c r="D536" s="64"/>
      <c r="E536" s="64"/>
      <c r="F536" s="71" t="s">
        <v>178</v>
      </c>
      <c r="G536" s="64"/>
      <c r="H536" s="21"/>
      <c r="I536" s="21"/>
      <c r="J536" s="21"/>
      <c r="K536" s="21"/>
      <c r="L536" s="21"/>
      <c r="M536" s="21"/>
      <c r="N536" s="21"/>
    </row>
    <row r="537" spans="1:14" ht="40.5" x14ac:dyDescent="0.25">
      <c r="A537" s="151"/>
      <c r="B537" s="64">
        <v>2800</v>
      </c>
      <c r="C537" s="64" t="s">
        <v>13</v>
      </c>
      <c r="D537" s="64">
        <v>0</v>
      </c>
      <c r="E537" s="64">
        <v>0</v>
      </c>
      <c r="F537" s="71" t="s">
        <v>312</v>
      </c>
      <c r="G537" s="64"/>
      <c r="H537" s="21">
        <f t="shared" ref="H537:N537" si="69">+H539+H552+H594+H607+H627</f>
        <v>1773166.1639999992</v>
      </c>
      <c r="I537" s="21">
        <f t="shared" si="69"/>
        <v>1747166.1639999992</v>
      </c>
      <c r="J537" s="21">
        <f t="shared" si="69"/>
        <v>26000</v>
      </c>
      <c r="K537" s="21">
        <f t="shared" si="69"/>
        <v>416895.95142857119</v>
      </c>
      <c r="L537" s="21">
        <f t="shared" si="69"/>
        <v>831187.83304761816</v>
      </c>
      <c r="M537" s="21">
        <f t="shared" si="69"/>
        <v>1286965.8433968234</v>
      </c>
      <c r="N537" s="21">
        <f t="shared" si="69"/>
        <v>1773166.1639999992</v>
      </c>
    </row>
    <row r="538" spans="1:14" x14ac:dyDescent="0.25">
      <c r="A538" s="151"/>
      <c r="B538" s="64"/>
      <c r="C538" s="64"/>
      <c r="D538" s="64"/>
      <c r="E538" s="64"/>
      <c r="F538" s="71" t="s">
        <v>154</v>
      </c>
      <c r="G538" s="64"/>
      <c r="H538" s="21"/>
      <c r="I538" s="21"/>
      <c r="J538" s="21"/>
      <c r="K538" s="21"/>
      <c r="L538" s="21"/>
      <c r="M538" s="21"/>
      <c r="N538" s="21"/>
    </row>
    <row r="539" spans="1:14" x14ac:dyDescent="0.25">
      <c r="A539" s="151"/>
      <c r="B539" s="64">
        <v>2810</v>
      </c>
      <c r="C539" s="64" t="s">
        <v>13</v>
      </c>
      <c r="D539" s="64">
        <v>1</v>
      </c>
      <c r="E539" s="64">
        <v>0</v>
      </c>
      <c r="F539" s="71" t="s">
        <v>313</v>
      </c>
      <c r="G539" s="64"/>
      <c r="H539" s="21">
        <f t="shared" ref="H539:N539" si="70">H541</f>
        <v>775231.12399999902</v>
      </c>
      <c r="I539" s="21">
        <f t="shared" si="70"/>
        <v>775231.12399999902</v>
      </c>
      <c r="J539" s="21">
        <f t="shared" si="70"/>
        <v>0</v>
      </c>
      <c r="K539" s="21">
        <f t="shared" si="70"/>
        <v>188667.73904761882</v>
      </c>
      <c r="L539" s="21">
        <f t="shared" si="70"/>
        <v>376322.89207936462</v>
      </c>
      <c r="M539" s="21">
        <f t="shared" si="70"/>
        <v>579359.61503174528</v>
      </c>
      <c r="N539" s="21">
        <f t="shared" si="70"/>
        <v>775231.12399999902</v>
      </c>
    </row>
    <row r="540" spans="1:14" ht="58.5" customHeight="1" x14ac:dyDescent="0.25">
      <c r="A540" s="151"/>
      <c r="B540" s="64"/>
      <c r="C540" s="64"/>
      <c r="D540" s="64"/>
      <c r="E540" s="64"/>
      <c r="F540" s="71" t="s">
        <v>156</v>
      </c>
      <c r="G540" s="64"/>
      <c r="H540" s="21"/>
      <c r="I540" s="21"/>
      <c r="J540" s="21"/>
      <c r="K540" s="21"/>
      <c r="L540" s="21"/>
      <c r="M540" s="21"/>
      <c r="N540" s="21"/>
    </row>
    <row r="541" spans="1:14" x14ac:dyDescent="0.25">
      <c r="A541" s="151"/>
      <c r="B541" s="64">
        <v>2811</v>
      </c>
      <c r="C541" s="64" t="s">
        <v>13</v>
      </c>
      <c r="D541" s="64">
        <v>1</v>
      </c>
      <c r="E541" s="64">
        <v>1</v>
      </c>
      <c r="F541" s="71" t="s">
        <v>313</v>
      </c>
      <c r="G541" s="64"/>
      <c r="H541" s="21">
        <f t="shared" ref="H541:N541" si="71">SUM(H543:H550)</f>
        <v>775231.12399999902</v>
      </c>
      <c r="I541" s="21">
        <f t="shared" si="71"/>
        <v>775231.12399999902</v>
      </c>
      <c r="J541" s="21">
        <f t="shared" si="71"/>
        <v>0</v>
      </c>
      <c r="K541" s="21">
        <f t="shared" si="71"/>
        <v>188667.73904761882</v>
      </c>
      <c r="L541" s="21">
        <f t="shared" si="71"/>
        <v>376322.89207936462</v>
      </c>
      <c r="M541" s="21">
        <f t="shared" si="71"/>
        <v>579359.61503174528</v>
      </c>
      <c r="N541" s="21">
        <f t="shared" si="71"/>
        <v>775231.12399999902</v>
      </c>
    </row>
    <row r="542" spans="1:14" ht="40.5" x14ac:dyDescent="0.25">
      <c r="A542" s="151"/>
      <c r="B542" s="64"/>
      <c r="C542" s="64"/>
      <c r="D542" s="64"/>
      <c r="E542" s="64"/>
      <c r="F542" s="71" t="s">
        <v>177</v>
      </c>
      <c r="G542" s="64"/>
      <c r="H542" s="21"/>
      <c r="I542" s="21"/>
      <c r="J542" s="21"/>
      <c r="K542" s="21"/>
      <c r="L542" s="21"/>
      <c r="M542" s="21"/>
      <c r="N542" s="21"/>
    </row>
    <row r="543" spans="1:14" x14ac:dyDescent="0.25">
      <c r="A543" s="151"/>
      <c r="B543" s="64"/>
      <c r="C543" s="64"/>
      <c r="D543" s="64"/>
      <c r="E543" s="64"/>
      <c r="F543" s="71" t="s">
        <v>557</v>
      </c>
      <c r="G543" s="64">
        <v>4221</v>
      </c>
      <c r="H543" s="21">
        <f t="shared" ref="H543:H550" si="72">SUM(I543:J543)</f>
        <v>47300</v>
      </c>
      <c r="I543" s="21">
        <v>47300</v>
      </c>
      <c r="J543" s="21"/>
      <c r="K543" s="145">
        <v>11261.904761904763</v>
      </c>
      <c r="L543" s="145">
        <v>22711.507936507936</v>
      </c>
      <c r="M543" s="145">
        <v>35099.60317460318</v>
      </c>
      <c r="N543" s="145">
        <f t="shared" ref="N543:N550" si="73">+H543</f>
        <v>47300</v>
      </c>
    </row>
    <row r="544" spans="1:14" x14ac:dyDescent="0.25">
      <c r="A544" s="151"/>
      <c r="B544" s="64"/>
      <c r="C544" s="64"/>
      <c r="D544" s="64"/>
      <c r="E544" s="64"/>
      <c r="F544" s="71" t="s">
        <v>396</v>
      </c>
      <c r="G544" s="64">
        <v>4222</v>
      </c>
      <c r="H544" s="21">
        <f t="shared" si="72"/>
        <v>1000</v>
      </c>
      <c r="I544" s="21">
        <v>1000</v>
      </c>
      <c r="J544" s="21"/>
      <c r="K544" s="145">
        <v>238.0952380952381</v>
      </c>
      <c r="L544" s="145">
        <v>480.15873015873018</v>
      </c>
      <c r="M544" s="145">
        <v>742.06349206349205</v>
      </c>
      <c r="N544" s="145">
        <f t="shared" si="73"/>
        <v>1000</v>
      </c>
    </row>
    <row r="545" spans="1:14" x14ac:dyDescent="0.25">
      <c r="A545" s="151"/>
      <c r="B545" s="64"/>
      <c r="C545" s="64"/>
      <c r="D545" s="64"/>
      <c r="E545" s="64"/>
      <c r="F545" s="71" t="s">
        <v>558</v>
      </c>
      <c r="G545" s="64">
        <v>4511</v>
      </c>
      <c r="H545" s="21">
        <f t="shared" si="72"/>
        <v>582000.223999999</v>
      </c>
      <c r="I545" s="21">
        <f>582000.223999999</f>
        <v>582000.223999999</v>
      </c>
      <c r="J545" s="21"/>
      <c r="K545" s="145">
        <f>+H545/252*60</f>
        <v>138571.48190476166</v>
      </c>
      <c r="L545" s="145">
        <f>+H545/252*121</f>
        <v>279452.48850793601</v>
      </c>
      <c r="M545" s="145">
        <f>+H545/252*187</f>
        <v>431881.11860317382</v>
      </c>
      <c r="N545" s="145">
        <f t="shared" si="73"/>
        <v>582000.223999999</v>
      </c>
    </row>
    <row r="546" spans="1:14" x14ac:dyDescent="0.25">
      <c r="A546" s="151"/>
      <c r="B546" s="64"/>
      <c r="C546" s="64"/>
      <c r="D546" s="64"/>
      <c r="E546" s="64"/>
      <c r="F546" s="71" t="s">
        <v>559</v>
      </c>
      <c r="G546" s="64">
        <v>4729</v>
      </c>
      <c r="H546" s="21">
        <f t="shared" si="72"/>
        <v>82140</v>
      </c>
      <c r="I546" s="21">
        <f>48000+34140</f>
        <v>82140</v>
      </c>
      <c r="J546" s="21"/>
      <c r="K546" s="145">
        <v>19557.142857142859</v>
      </c>
      <c r="L546" s="145">
        <v>39440.238095238099</v>
      </c>
      <c r="M546" s="145">
        <v>60953.095238095237</v>
      </c>
      <c r="N546" s="145">
        <f t="shared" si="73"/>
        <v>82140</v>
      </c>
    </row>
    <row r="547" spans="1:14" ht="27" x14ac:dyDescent="0.25">
      <c r="A547" s="151"/>
      <c r="B547" s="64"/>
      <c r="C547" s="64"/>
      <c r="D547" s="64"/>
      <c r="E547" s="64"/>
      <c r="F547" s="71" t="s">
        <v>564</v>
      </c>
      <c r="G547" s="64">
        <v>4819</v>
      </c>
      <c r="H547" s="21">
        <f t="shared" si="72"/>
        <v>48644.9</v>
      </c>
      <c r="I547" s="21">
        <f>44556+4088.9</f>
        <v>48644.9</v>
      </c>
      <c r="J547" s="21"/>
      <c r="K547" s="145">
        <v>15671.019047619047</v>
      </c>
      <c r="L547" s="145">
        <v>27446.173412698416</v>
      </c>
      <c r="M547" s="145">
        <v>40186.504365079367</v>
      </c>
      <c r="N547" s="145">
        <f t="shared" si="73"/>
        <v>48644.9</v>
      </c>
    </row>
    <row r="548" spans="1:14" x14ac:dyDescent="0.25">
      <c r="A548" s="151"/>
      <c r="B548" s="64"/>
      <c r="C548" s="64"/>
      <c r="D548" s="64"/>
      <c r="E548" s="64"/>
      <c r="F548" s="71" t="s">
        <v>544</v>
      </c>
      <c r="G548" s="64">
        <v>4861</v>
      </c>
      <c r="H548" s="21">
        <f t="shared" si="72"/>
        <v>2000</v>
      </c>
      <c r="I548" s="21">
        <v>2000</v>
      </c>
      <c r="J548" s="21"/>
      <c r="K548" s="145">
        <v>476.1904761904762</v>
      </c>
      <c r="L548" s="145">
        <v>960.31746031746036</v>
      </c>
      <c r="M548" s="145">
        <v>1484.1269841269841</v>
      </c>
      <c r="N548" s="145">
        <f t="shared" si="73"/>
        <v>2000</v>
      </c>
    </row>
    <row r="549" spans="1:14" x14ac:dyDescent="0.25">
      <c r="A549" s="151"/>
      <c r="B549" s="64"/>
      <c r="C549" s="64"/>
      <c r="D549" s="64"/>
      <c r="E549" s="64"/>
      <c r="F549" s="71" t="s">
        <v>560</v>
      </c>
      <c r="G549" s="64">
        <v>4216</v>
      </c>
      <c r="H549" s="21">
        <f t="shared" si="72"/>
        <v>3770</v>
      </c>
      <c r="I549" s="21">
        <v>3770</v>
      </c>
      <c r="J549" s="21"/>
      <c r="K549" s="145">
        <v>897.61904761904759</v>
      </c>
      <c r="L549" s="145">
        <v>1810.1984126984128</v>
      </c>
      <c r="M549" s="145">
        <v>2797.5793650793653</v>
      </c>
      <c r="N549" s="145">
        <f t="shared" si="73"/>
        <v>3770</v>
      </c>
    </row>
    <row r="550" spans="1:14" ht="27" x14ac:dyDescent="0.25">
      <c r="A550" s="151"/>
      <c r="B550" s="64"/>
      <c r="C550" s="64"/>
      <c r="D550" s="64"/>
      <c r="E550" s="64"/>
      <c r="F550" s="71" t="s">
        <v>562</v>
      </c>
      <c r="G550" s="64">
        <v>4727</v>
      </c>
      <c r="H550" s="21">
        <f t="shared" si="72"/>
        <v>8376</v>
      </c>
      <c r="I550" s="21">
        <v>8376</v>
      </c>
      <c r="J550" s="21"/>
      <c r="K550" s="145">
        <v>1994.2857142857144</v>
      </c>
      <c r="L550" s="145">
        <v>4021.8095238095243</v>
      </c>
      <c r="M550" s="145">
        <v>6215.5238095238101</v>
      </c>
      <c r="N550" s="145">
        <f t="shared" si="73"/>
        <v>8376</v>
      </c>
    </row>
    <row r="551" spans="1:14" x14ac:dyDescent="0.25">
      <c r="A551" s="151"/>
      <c r="B551" s="64"/>
      <c r="C551" s="64"/>
      <c r="D551" s="64"/>
      <c r="E551" s="64"/>
      <c r="F551" s="71" t="s">
        <v>178</v>
      </c>
      <c r="G551" s="64"/>
      <c r="H551" s="21"/>
      <c r="I551" s="21"/>
      <c r="J551" s="21"/>
      <c r="K551" s="21"/>
      <c r="L551" s="21"/>
      <c r="M551" s="21"/>
      <c r="N551" s="21"/>
    </row>
    <row r="552" spans="1:14" x14ac:dyDescent="0.25">
      <c r="A552" s="151"/>
      <c r="B552" s="64">
        <v>2820</v>
      </c>
      <c r="C552" s="64" t="s">
        <v>13</v>
      </c>
      <c r="D552" s="64">
        <v>2</v>
      </c>
      <c r="E552" s="64">
        <v>0</v>
      </c>
      <c r="F552" s="71" t="s">
        <v>314</v>
      </c>
      <c r="G552" s="64"/>
      <c r="H552" s="21">
        <f t="shared" ref="H552:N552" si="74">H554+H560+H566+H572+H577+H581+H585</f>
        <v>935733.8</v>
      </c>
      <c r="I552" s="21">
        <f t="shared" si="74"/>
        <v>909733.8</v>
      </c>
      <c r="J552" s="21">
        <f t="shared" si="74"/>
        <v>26000</v>
      </c>
      <c r="K552" s="21">
        <f t="shared" si="74"/>
        <v>211217.15333333335</v>
      </c>
      <c r="L552" s="21">
        <f t="shared" si="74"/>
        <v>422797.23255555501</v>
      </c>
      <c r="M552" s="21">
        <f t="shared" si="74"/>
        <v>655378.67138095107</v>
      </c>
      <c r="N552" s="21">
        <f t="shared" si="74"/>
        <v>935733.8</v>
      </c>
    </row>
    <row r="553" spans="1:14" ht="54.75" customHeight="1" x14ac:dyDescent="0.25">
      <c r="A553" s="151"/>
      <c r="B553" s="64"/>
      <c r="C553" s="64"/>
      <c r="D553" s="64"/>
      <c r="E553" s="64"/>
      <c r="F553" s="71" t="s">
        <v>156</v>
      </c>
      <c r="G553" s="64"/>
      <c r="H553" s="21"/>
      <c r="I553" s="21"/>
      <c r="J553" s="21"/>
      <c r="K553" s="21"/>
      <c r="L553" s="21"/>
      <c r="M553" s="21"/>
      <c r="N553" s="21"/>
    </row>
    <row r="554" spans="1:14" x14ac:dyDescent="0.25">
      <c r="A554" s="151"/>
      <c r="B554" s="64">
        <v>2821</v>
      </c>
      <c r="C554" s="64" t="s">
        <v>13</v>
      </c>
      <c r="D554" s="64">
        <v>2</v>
      </c>
      <c r="E554" s="64">
        <v>1</v>
      </c>
      <c r="F554" s="71" t="s">
        <v>315</v>
      </c>
      <c r="G554" s="64"/>
      <c r="H554" s="21">
        <f>H556+H557+H558+H559</f>
        <v>69280.100000000006</v>
      </c>
      <c r="I554" s="21">
        <f t="shared" ref="I554:N554" si="75">I556+I557+I558+I559</f>
        <v>69280.100000000006</v>
      </c>
      <c r="J554" s="21">
        <f t="shared" si="75"/>
        <v>0</v>
      </c>
      <c r="K554" s="21">
        <f t="shared" si="75"/>
        <v>15384.885714285712</v>
      </c>
      <c r="L554" s="21">
        <f t="shared" si="75"/>
        <v>30944.751190476192</v>
      </c>
      <c r="M554" s="21">
        <f t="shared" si="75"/>
        <v>47780.015476190478</v>
      </c>
      <c r="N554" s="21">
        <f t="shared" si="75"/>
        <v>69280.100000000006</v>
      </c>
    </row>
    <row r="555" spans="1:14" ht="40.5" x14ac:dyDescent="0.25">
      <c r="A555" s="151"/>
      <c r="B555" s="64"/>
      <c r="C555" s="64"/>
      <c r="D555" s="64"/>
      <c r="E555" s="64"/>
      <c r="F555" s="71" t="s">
        <v>177</v>
      </c>
      <c r="G555" s="64"/>
      <c r="H555" s="21"/>
      <c r="I555" s="21"/>
      <c r="J555" s="21"/>
      <c r="K555" s="21"/>
      <c r="L555" s="21"/>
      <c r="M555" s="21"/>
      <c r="N555" s="21"/>
    </row>
    <row r="556" spans="1:14" ht="27" x14ac:dyDescent="0.25">
      <c r="A556" s="151"/>
      <c r="B556" s="64"/>
      <c r="C556" s="64"/>
      <c r="D556" s="64"/>
      <c r="E556" s="64"/>
      <c r="F556" s="71" t="s">
        <v>563</v>
      </c>
      <c r="G556" s="64">
        <v>4511</v>
      </c>
      <c r="H556" s="21">
        <f>SUM(I556:J556)</f>
        <v>66500</v>
      </c>
      <c r="I556" s="21">
        <v>66500</v>
      </c>
      <c r="J556" s="21"/>
      <c r="K556" s="145">
        <v>14642.857142857141</v>
      </c>
      <c r="L556" s="145">
        <v>29529.761904761905</v>
      </c>
      <c r="M556" s="145">
        <v>45636.904761904763</v>
      </c>
      <c r="N556" s="145">
        <f t="shared" ref="N556:N558" si="76">+H556</f>
        <v>66500</v>
      </c>
    </row>
    <row r="557" spans="1:14" x14ac:dyDescent="0.25">
      <c r="A557" s="151"/>
      <c r="B557" s="64"/>
      <c r="C557" s="64"/>
      <c r="D557" s="64"/>
      <c r="E557" s="64"/>
      <c r="F557" s="71" t="s">
        <v>560</v>
      </c>
      <c r="G557" s="64">
        <v>4216</v>
      </c>
      <c r="H557" s="21">
        <f>SUM(I557:J557)</f>
        <v>1200</v>
      </c>
      <c r="I557" s="21">
        <v>1200</v>
      </c>
      <c r="J557" s="21"/>
      <c r="K557" s="145">
        <v>285.71428571428572</v>
      </c>
      <c r="L557" s="145">
        <v>576.19047619047615</v>
      </c>
      <c r="M557" s="145">
        <v>890.47619047619048</v>
      </c>
      <c r="N557" s="145">
        <f t="shared" si="76"/>
        <v>1200</v>
      </c>
    </row>
    <row r="558" spans="1:14" ht="27" x14ac:dyDescent="0.25">
      <c r="A558" s="151"/>
      <c r="B558" s="64"/>
      <c r="C558" s="64"/>
      <c r="D558" s="64"/>
      <c r="E558" s="64"/>
      <c r="F558" s="71" t="s">
        <v>564</v>
      </c>
      <c r="G558" s="64">
        <v>4819</v>
      </c>
      <c r="H558" s="21">
        <f>SUM(I558:J558)</f>
        <v>1580.1</v>
      </c>
      <c r="I558" s="21">
        <f>1500+80.1</f>
        <v>1580.1</v>
      </c>
      <c r="J558" s="21"/>
      <c r="K558" s="145">
        <v>456.31428571428569</v>
      </c>
      <c r="L558" s="145">
        <v>838.7988095238095</v>
      </c>
      <c r="M558" s="145">
        <v>1252.6345238095237</v>
      </c>
      <c r="N558" s="145">
        <f t="shared" si="76"/>
        <v>1580.1</v>
      </c>
    </row>
    <row r="559" spans="1:14" x14ac:dyDescent="0.25">
      <c r="A559" s="151"/>
      <c r="B559" s="64"/>
      <c r="C559" s="64"/>
      <c r="D559" s="64"/>
      <c r="E559" s="64"/>
      <c r="F559" s="71" t="s">
        <v>185</v>
      </c>
      <c r="G559" s="64" t="s">
        <v>94</v>
      </c>
      <c r="H559" s="21"/>
      <c r="I559" s="21"/>
      <c r="J559" s="21"/>
      <c r="K559" s="84"/>
      <c r="L559" s="84"/>
      <c r="M559" s="84"/>
      <c r="N559" s="84"/>
    </row>
    <row r="560" spans="1:14" ht="25.5" customHeight="1" x14ac:dyDescent="0.25">
      <c r="A560" s="151"/>
      <c r="B560" s="64">
        <v>2822</v>
      </c>
      <c r="C560" s="64" t="s">
        <v>13</v>
      </c>
      <c r="D560" s="64">
        <v>2</v>
      </c>
      <c r="E560" s="64">
        <v>2</v>
      </c>
      <c r="F560" s="71" t="s">
        <v>316</v>
      </c>
      <c r="G560" s="64"/>
      <c r="H560" s="21">
        <f>+H562+H563+H564+H565</f>
        <v>107540.1</v>
      </c>
      <c r="I560" s="21">
        <f t="shared" ref="I560:N560" si="77">+I562+I563+I564+I565</f>
        <v>104040.1</v>
      </c>
      <c r="J560" s="21">
        <f t="shared" si="77"/>
        <v>3500</v>
      </c>
      <c r="K560" s="21">
        <f t="shared" si="77"/>
        <v>24830.138095238093</v>
      </c>
      <c r="L560" s="21">
        <f t="shared" si="77"/>
        <v>49558.763492063488</v>
      </c>
      <c r="M560" s="21">
        <f t="shared" si="77"/>
        <v>79814.325396825399</v>
      </c>
      <c r="N560" s="21">
        <f t="shared" si="77"/>
        <v>107540.1</v>
      </c>
    </row>
    <row r="561" spans="1:17" ht="40.5" x14ac:dyDescent="0.25">
      <c r="A561" s="151"/>
      <c r="B561" s="64"/>
      <c r="C561" s="64"/>
      <c r="D561" s="64"/>
      <c r="E561" s="64"/>
      <c r="F561" s="71" t="s">
        <v>177</v>
      </c>
      <c r="G561" s="64"/>
      <c r="H561" s="21"/>
      <c r="I561" s="21"/>
      <c r="J561" s="21"/>
      <c r="K561" s="21"/>
      <c r="L561" s="21"/>
      <c r="M561" s="21"/>
      <c r="N561" s="21"/>
    </row>
    <row r="562" spans="1:17" ht="27" x14ac:dyDescent="0.25">
      <c r="A562" s="151"/>
      <c r="B562" s="64"/>
      <c r="C562" s="64"/>
      <c r="D562" s="64"/>
      <c r="E562" s="64"/>
      <c r="F562" s="71" t="s">
        <v>564</v>
      </c>
      <c r="G562" s="64">
        <v>4819</v>
      </c>
      <c r="H562" s="21">
        <f>SUM(I562:J562)</f>
        <v>34589.4</v>
      </c>
      <c r="I562" s="21">
        <v>34589.4</v>
      </c>
      <c r="J562" s="21"/>
      <c r="K562" s="145">
        <v>8294.2571428571428</v>
      </c>
      <c r="L562" s="145">
        <v>16211.403571428571</v>
      </c>
      <c r="M562" s="145">
        <v>24777.49642857143</v>
      </c>
      <c r="N562" s="145">
        <f t="shared" ref="N562:N565" si="78">+H562</f>
        <v>34589.4</v>
      </c>
      <c r="P562" s="151"/>
    </row>
    <row r="563" spans="1:17" x14ac:dyDescent="0.25">
      <c r="A563" s="151"/>
      <c r="B563" s="64"/>
      <c r="C563" s="64"/>
      <c r="D563" s="64"/>
      <c r="E563" s="64"/>
      <c r="F563" s="71" t="s">
        <v>586</v>
      </c>
      <c r="G563" s="64">
        <v>4511</v>
      </c>
      <c r="H563" s="21">
        <f>SUM(I563:J563)</f>
        <v>69450.7</v>
      </c>
      <c r="I563" s="21">
        <f>64450.7+5000</f>
        <v>69450.7</v>
      </c>
      <c r="J563" s="21"/>
      <c r="K563" s="145">
        <f t="shared" ref="K563" si="79">+H563/252*60</f>
        <v>16535.88095238095</v>
      </c>
      <c r="L563" s="145">
        <f t="shared" ref="L563" si="80">+H563/252*121</f>
        <v>33347.359920634917</v>
      </c>
      <c r="M563" s="145">
        <f t="shared" ref="M563" si="81">+H563/252*187</f>
        <v>51536.828968253969</v>
      </c>
      <c r="N563" s="145">
        <f t="shared" si="78"/>
        <v>69450.7</v>
      </c>
    </row>
    <row r="564" spans="1:17" ht="27" x14ac:dyDescent="0.25">
      <c r="A564" s="151"/>
      <c r="B564" s="64"/>
      <c r="C564" s="64"/>
      <c r="D564" s="64"/>
      <c r="E564" s="64"/>
      <c r="F564" s="71" t="s">
        <v>861</v>
      </c>
      <c r="G564" s="64" t="s">
        <v>42</v>
      </c>
      <c r="H564" s="21">
        <f>SUM(I564:J564)</f>
        <v>0</v>
      </c>
      <c r="I564" s="21"/>
      <c r="J564" s="21"/>
      <c r="K564" s="21"/>
      <c r="L564" s="21"/>
      <c r="M564" s="21"/>
      <c r="N564" s="145">
        <f t="shared" si="78"/>
        <v>0</v>
      </c>
      <c r="P564" s="151"/>
      <c r="Q564" s="151"/>
    </row>
    <row r="565" spans="1:17" ht="27" x14ac:dyDescent="0.25">
      <c r="A565" s="151"/>
      <c r="B565" s="64"/>
      <c r="C565" s="64"/>
      <c r="D565" s="64"/>
      <c r="E565" s="64"/>
      <c r="F565" s="71" t="s">
        <v>582</v>
      </c>
      <c r="G565" s="64">
        <v>5113</v>
      </c>
      <c r="H565" s="21">
        <f>SUM(I565:J565)</f>
        <v>3500</v>
      </c>
      <c r="I565" s="21"/>
      <c r="J565" s="21">
        <v>3500</v>
      </c>
      <c r="K565" s="145"/>
      <c r="L565" s="145"/>
      <c r="M565" s="145">
        <v>3500</v>
      </c>
      <c r="N565" s="145">
        <f t="shared" si="78"/>
        <v>3500</v>
      </c>
    </row>
    <row r="566" spans="1:17" ht="30.75" customHeight="1" x14ac:dyDescent="0.25">
      <c r="A566" s="151"/>
      <c r="B566" s="64">
        <v>2823</v>
      </c>
      <c r="C566" s="64" t="s">
        <v>13</v>
      </c>
      <c r="D566" s="64">
        <v>2</v>
      </c>
      <c r="E566" s="64">
        <v>3</v>
      </c>
      <c r="F566" s="71" t="s">
        <v>317</v>
      </c>
      <c r="G566" s="64"/>
      <c r="H566" s="21">
        <f>SUM(H568:H570)</f>
        <v>730413.6</v>
      </c>
      <c r="I566" s="21">
        <f t="shared" ref="I566:N566" si="82">SUM(I568:I570)</f>
        <v>730413.6</v>
      </c>
      <c r="J566" s="21">
        <f t="shared" si="82"/>
        <v>0</v>
      </c>
      <c r="K566" s="21">
        <f t="shared" si="82"/>
        <v>164216.41523809524</v>
      </c>
      <c r="L566" s="21">
        <f t="shared" si="82"/>
        <v>328609.19406349154</v>
      </c>
      <c r="M566" s="21">
        <f t="shared" si="82"/>
        <v>506476.79082539561</v>
      </c>
      <c r="N566" s="21">
        <f t="shared" si="82"/>
        <v>730413.6</v>
      </c>
    </row>
    <row r="567" spans="1:17" ht="25.5" customHeight="1" x14ac:dyDescent="0.25">
      <c r="A567" s="151"/>
      <c r="B567" s="64"/>
      <c r="C567" s="64"/>
      <c r="D567" s="64"/>
      <c r="E567" s="64"/>
      <c r="F567" s="71" t="s">
        <v>177</v>
      </c>
      <c r="G567" s="64"/>
      <c r="H567" s="21"/>
      <c r="I567" s="21"/>
      <c r="J567" s="21"/>
      <c r="K567" s="21"/>
      <c r="L567" s="21"/>
      <c r="M567" s="21"/>
      <c r="N567" s="21"/>
    </row>
    <row r="568" spans="1:17" ht="27" x14ac:dyDescent="0.25">
      <c r="A568" s="151"/>
      <c r="B568" s="64"/>
      <c r="C568" s="64"/>
      <c r="D568" s="64"/>
      <c r="E568" s="64"/>
      <c r="F568" s="71" t="s">
        <v>751</v>
      </c>
      <c r="G568" s="64">
        <v>4819</v>
      </c>
      <c r="H568" s="21">
        <f>SUM(I568:J568)</f>
        <v>35813.599999999999</v>
      </c>
      <c r="I568" s="21">
        <f>33295+2518.6</f>
        <v>35813.599999999999</v>
      </c>
      <c r="J568" s="21"/>
      <c r="K568" s="145">
        <v>11045.647619047619</v>
      </c>
      <c r="L568" s="145">
        <v>19714.812698412698</v>
      </c>
      <c r="M568" s="145">
        <v>29094.565079365078</v>
      </c>
      <c r="N568" s="145">
        <f t="shared" ref="N568:N570" si="83">+H568</f>
        <v>35813.599999999999</v>
      </c>
    </row>
    <row r="569" spans="1:17" x14ac:dyDescent="0.25">
      <c r="A569" s="151"/>
      <c r="B569" s="64"/>
      <c r="C569" s="64"/>
      <c r="D569" s="64"/>
      <c r="E569" s="64"/>
      <c r="F569" s="71" t="s">
        <v>585</v>
      </c>
      <c r="G569" s="64">
        <v>4511</v>
      </c>
      <c r="H569" s="21">
        <f>SUM(I569:J569)</f>
        <v>690100</v>
      </c>
      <c r="I569" s="21">
        <v>690100</v>
      </c>
      <c r="J569" s="21"/>
      <c r="K569" s="145">
        <v>152099.33904761905</v>
      </c>
      <c r="L569" s="145">
        <v>306733.66707936459</v>
      </c>
      <c r="M569" s="145">
        <v>474042.94003174477</v>
      </c>
      <c r="N569" s="145">
        <f t="shared" si="83"/>
        <v>690100</v>
      </c>
    </row>
    <row r="570" spans="1:17" ht="27" x14ac:dyDescent="0.25">
      <c r="A570" s="151"/>
      <c r="B570" s="64"/>
      <c r="C570" s="64"/>
      <c r="D570" s="64"/>
      <c r="E570" s="64"/>
      <c r="F570" s="71" t="s">
        <v>562</v>
      </c>
      <c r="G570" s="64" t="s">
        <v>76</v>
      </c>
      <c r="H570" s="21">
        <f>SUM(I570:J570)</f>
        <v>4500</v>
      </c>
      <c r="I570" s="21">
        <v>4500</v>
      </c>
      <c r="J570" s="21"/>
      <c r="K570" s="145">
        <v>1071.4285714285716</v>
      </c>
      <c r="L570" s="145">
        <v>2160.7142857142858</v>
      </c>
      <c r="M570" s="145">
        <v>3339.2857142857142</v>
      </c>
      <c r="N570" s="145">
        <f t="shared" si="83"/>
        <v>4500</v>
      </c>
    </row>
    <row r="571" spans="1:17" ht="51.75" customHeight="1" x14ac:dyDescent="0.25">
      <c r="A571" s="151"/>
      <c r="B571" s="64"/>
      <c r="C571" s="64"/>
      <c r="D571" s="64"/>
      <c r="E571" s="64"/>
      <c r="F571" s="71" t="s">
        <v>178</v>
      </c>
      <c r="G571" s="64"/>
      <c r="H571" s="21"/>
      <c r="I571" s="21"/>
      <c r="J571" s="21"/>
      <c r="K571" s="21"/>
      <c r="L571" s="21"/>
      <c r="M571" s="21"/>
      <c r="N571" s="21"/>
    </row>
    <row r="572" spans="1:17" x14ac:dyDescent="0.25">
      <c r="A572" s="151"/>
      <c r="B572" s="64">
        <v>2824</v>
      </c>
      <c r="C572" s="64" t="s">
        <v>13</v>
      </c>
      <c r="D572" s="64">
        <v>2</v>
      </c>
      <c r="E572" s="64">
        <v>4</v>
      </c>
      <c r="F572" s="71" t="s">
        <v>318</v>
      </c>
      <c r="G572" s="64"/>
      <c r="H572" s="21"/>
      <c r="I572" s="21"/>
      <c r="J572" s="21"/>
      <c r="K572" s="21"/>
      <c r="L572" s="21"/>
      <c r="M572" s="21"/>
      <c r="N572" s="21"/>
    </row>
    <row r="573" spans="1:17" ht="40.5" x14ac:dyDescent="0.25">
      <c r="A573" s="151"/>
      <c r="B573" s="64"/>
      <c r="C573" s="64"/>
      <c r="D573" s="64"/>
      <c r="E573" s="64"/>
      <c r="F573" s="71" t="s">
        <v>177</v>
      </c>
      <c r="G573" s="64"/>
      <c r="H573" s="21"/>
      <c r="I573" s="21"/>
      <c r="J573" s="21"/>
      <c r="K573" s="21"/>
      <c r="L573" s="21"/>
      <c r="M573" s="21"/>
      <c r="N573" s="21"/>
    </row>
    <row r="574" spans="1:17" x14ac:dyDescent="0.25">
      <c r="A574" s="151"/>
      <c r="B574" s="64"/>
      <c r="C574" s="64"/>
      <c r="D574" s="64"/>
      <c r="E574" s="64"/>
      <c r="F574" s="71"/>
      <c r="G574" s="64"/>
      <c r="H574" s="21"/>
      <c r="I574" s="21"/>
      <c r="J574" s="21"/>
      <c r="K574" s="21"/>
      <c r="L574" s="21"/>
      <c r="M574" s="21"/>
      <c r="N574" s="21"/>
    </row>
    <row r="575" spans="1:17" x14ac:dyDescent="0.25">
      <c r="A575" s="151"/>
      <c r="B575" s="64"/>
      <c r="C575" s="64"/>
      <c r="D575" s="64"/>
      <c r="E575" s="64"/>
      <c r="F575" s="71" t="s">
        <v>178</v>
      </c>
      <c r="G575" s="64"/>
      <c r="H575" s="21"/>
      <c r="I575" s="21"/>
      <c r="J575" s="21"/>
      <c r="K575" s="21"/>
      <c r="L575" s="21"/>
      <c r="M575" s="21"/>
      <c r="N575" s="21"/>
    </row>
    <row r="576" spans="1:17" ht="51" customHeight="1" x14ac:dyDescent="0.25">
      <c r="A576" s="151"/>
      <c r="B576" s="64"/>
      <c r="C576" s="64"/>
      <c r="D576" s="64"/>
      <c r="E576" s="64"/>
      <c r="F576" s="71" t="s">
        <v>178</v>
      </c>
      <c r="G576" s="64"/>
      <c r="H576" s="21"/>
      <c r="I576" s="21"/>
      <c r="J576" s="21"/>
      <c r="K576" s="21"/>
      <c r="L576" s="21"/>
      <c r="M576" s="21"/>
      <c r="N576" s="21"/>
    </row>
    <row r="577" spans="1:14" x14ac:dyDescent="0.25">
      <c r="A577" s="151"/>
      <c r="B577" s="64">
        <v>2825</v>
      </c>
      <c r="C577" s="64" t="s">
        <v>13</v>
      </c>
      <c r="D577" s="64">
        <v>2</v>
      </c>
      <c r="E577" s="64">
        <v>5</v>
      </c>
      <c r="F577" s="71" t="s">
        <v>319</v>
      </c>
      <c r="G577" s="64"/>
      <c r="H577" s="21"/>
      <c r="I577" s="21"/>
      <c r="J577" s="21"/>
      <c r="K577" s="21"/>
      <c r="L577" s="21"/>
      <c r="M577" s="21"/>
      <c r="N577" s="21"/>
    </row>
    <row r="578" spans="1:14" ht="40.5" x14ac:dyDescent="0.25">
      <c r="A578" s="151"/>
      <c r="B578" s="64"/>
      <c r="C578" s="64"/>
      <c r="D578" s="64"/>
      <c r="E578" s="64"/>
      <c r="F578" s="71" t="s">
        <v>177</v>
      </c>
      <c r="G578" s="64"/>
      <c r="H578" s="21"/>
      <c r="I578" s="21"/>
      <c r="J578" s="21"/>
      <c r="K578" s="21"/>
      <c r="L578" s="21"/>
      <c r="M578" s="21"/>
      <c r="N578" s="21"/>
    </row>
    <row r="579" spans="1:14" x14ac:dyDescent="0.25">
      <c r="A579" s="151"/>
      <c r="B579" s="64"/>
      <c r="C579" s="64"/>
      <c r="D579" s="64"/>
      <c r="E579" s="64"/>
      <c r="F579" s="71" t="s">
        <v>178</v>
      </c>
      <c r="G579" s="64"/>
      <c r="H579" s="21"/>
      <c r="I579" s="21"/>
      <c r="J579" s="21"/>
      <c r="K579" s="21"/>
      <c r="L579" s="21"/>
      <c r="M579" s="21"/>
      <c r="N579" s="21"/>
    </row>
    <row r="580" spans="1:14" ht="52.5" customHeight="1" x14ac:dyDescent="0.25">
      <c r="A580" s="151"/>
      <c r="B580" s="64"/>
      <c r="C580" s="64"/>
      <c r="D580" s="64"/>
      <c r="E580" s="64"/>
      <c r="F580" s="71" t="s">
        <v>178</v>
      </c>
      <c r="G580" s="64"/>
      <c r="H580" s="21"/>
      <c r="I580" s="21"/>
      <c r="J580" s="21"/>
      <c r="K580" s="21"/>
      <c r="L580" s="21"/>
      <c r="M580" s="21"/>
      <c r="N580" s="21"/>
    </row>
    <row r="581" spans="1:14" x14ac:dyDescent="0.25">
      <c r="A581" s="151"/>
      <c r="B581" s="64">
        <v>2826</v>
      </c>
      <c r="C581" s="64" t="s">
        <v>13</v>
      </c>
      <c r="D581" s="64">
        <v>2</v>
      </c>
      <c r="E581" s="64">
        <v>6</v>
      </c>
      <c r="F581" s="71" t="s">
        <v>320</v>
      </c>
      <c r="G581" s="64"/>
      <c r="H581" s="21"/>
      <c r="I581" s="21"/>
      <c r="J581" s="21"/>
      <c r="K581" s="21"/>
      <c r="L581" s="21"/>
      <c r="M581" s="21"/>
      <c r="N581" s="21"/>
    </row>
    <row r="582" spans="1:14" ht="40.5" x14ac:dyDescent="0.25">
      <c r="A582" s="151"/>
      <c r="B582" s="64"/>
      <c r="C582" s="64"/>
      <c r="D582" s="64"/>
      <c r="E582" s="64"/>
      <c r="F582" s="71" t="s">
        <v>177</v>
      </c>
      <c r="G582" s="64"/>
      <c r="H582" s="21"/>
      <c r="I582" s="21"/>
      <c r="J582" s="21"/>
      <c r="K582" s="21"/>
      <c r="L582" s="21"/>
      <c r="M582" s="21"/>
      <c r="N582" s="21"/>
    </row>
    <row r="583" spans="1:14" ht="38.25" customHeight="1" x14ac:dyDescent="0.25">
      <c r="A583" s="151"/>
      <c r="B583" s="64"/>
      <c r="C583" s="64"/>
      <c r="D583" s="64"/>
      <c r="E583" s="64"/>
      <c r="F583" s="71" t="s">
        <v>178</v>
      </c>
      <c r="G583" s="64"/>
      <c r="H583" s="21"/>
      <c r="I583" s="21"/>
      <c r="J583" s="21"/>
      <c r="K583" s="21"/>
      <c r="L583" s="21"/>
      <c r="M583" s="21"/>
      <c r="N583" s="21"/>
    </row>
    <row r="584" spans="1:14" ht="55.5" customHeight="1" x14ac:dyDescent="0.25">
      <c r="A584" s="151"/>
      <c r="B584" s="64"/>
      <c r="C584" s="64"/>
      <c r="D584" s="64"/>
      <c r="E584" s="64"/>
      <c r="F584" s="71" t="s">
        <v>178</v>
      </c>
      <c r="G584" s="64"/>
      <c r="H584" s="21"/>
      <c r="I584" s="21"/>
      <c r="J584" s="21"/>
      <c r="K584" s="21"/>
      <c r="L584" s="21"/>
      <c r="M584" s="21"/>
      <c r="N584" s="21"/>
    </row>
    <row r="585" spans="1:14" ht="27" x14ac:dyDescent="0.25">
      <c r="A585" s="151"/>
      <c r="B585" s="64">
        <v>2827</v>
      </c>
      <c r="C585" s="64" t="s">
        <v>13</v>
      </c>
      <c r="D585" s="64">
        <v>2</v>
      </c>
      <c r="E585" s="64">
        <v>7</v>
      </c>
      <c r="F585" s="71" t="s">
        <v>321</v>
      </c>
      <c r="G585" s="64"/>
      <c r="H585" s="21">
        <f t="shared" ref="H585:N585" si="84">H587+H589+H590+H591+H588</f>
        <v>28500</v>
      </c>
      <c r="I585" s="21">
        <f t="shared" si="84"/>
        <v>6000</v>
      </c>
      <c r="J585" s="21">
        <f t="shared" si="84"/>
        <v>22500</v>
      </c>
      <c r="K585" s="21">
        <f t="shared" si="84"/>
        <v>6785.7142857142871</v>
      </c>
      <c r="L585" s="21">
        <f t="shared" si="84"/>
        <v>13684.523809523811</v>
      </c>
      <c r="M585" s="21">
        <f t="shared" si="84"/>
        <v>21307.539682539686</v>
      </c>
      <c r="N585" s="21">
        <f t="shared" si="84"/>
        <v>28500</v>
      </c>
    </row>
    <row r="586" spans="1:14" ht="40.5" x14ac:dyDescent="0.25">
      <c r="A586" s="151"/>
      <c r="B586" s="64"/>
      <c r="C586" s="64"/>
      <c r="D586" s="64"/>
      <c r="E586" s="64"/>
      <c r="F586" s="71" t="s">
        <v>177</v>
      </c>
      <c r="G586" s="64"/>
      <c r="H586" s="21"/>
      <c r="I586" s="21"/>
      <c r="J586" s="21"/>
      <c r="K586" s="21"/>
      <c r="L586" s="21"/>
      <c r="M586" s="21"/>
      <c r="N586" s="21"/>
    </row>
    <row r="587" spans="1:14" x14ac:dyDescent="0.25">
      <c r="A587" s="151"/>
      <c r="B587" s="64"/>
      <c r="C587" s="64"/>
      <c r="D587" s="64"/>
      <c r="E587" s="64"/>
      <c r="F587" s="212" t="s">
        <v>827</v>
      </c>
      <c r="G587" s="199">
        <v>5411</v>
      </c>
      <c r="H587" s="21">
        <v>0</v>
      </c>
      <c r="I587" s="21"/>
      <c r="J587" s="21"/>
      <c r="K587" s="84"/>
      <c r="L587" s="84"/>
      <c r="M587" s="84"/>
      <c r="N587" s="84"/>
    </row>
    <row r="588" spans="1:14" x14ac:dyDescent="0.25">
      <c r="A588" s="151"/>
      <c r="B588" s="64"/>
      <c r="C588" s="64"/>
      <c r="D588" s="64"/>
      <c r="E588" s="64"/>
      <c r="F588" s="71" t="s">
        <v>584</v>
      </c>
      <c r="G588" s="64">
        <v>4251</v>
      </c>
      <c r="H588" s="21">
        <f t="shared" ref="H588:H590" si="85">SUM(I588:J588)</f>
        <v>3000</v>
      </c>
      <c r="I588" s="21">
        <v>3000</v>
      </c>
      <c r="J588" s="21"/>
      <c r="K588" s="145">
        <f t="shared" ref="K588:K591" si="86">+H588/252*60</f>
        <v>714.28571428571433</v>
      </c>
      <c r="L588" s="145">
        <f t="shared" ref="L588:L591" si="87">+H588/252*121</f>
        <v>1440.4761904761906</v>
      </c>
      <c r="M588" s="145">
        <f t="shared" ref="M588:M591" si="88">+H588/252*187</f>
        <v>2226.1904761904761</v>
      </c>
      <c r="N588" s="145">
        <f t="shared" ref="N588:N591" si="89">+H588</f>
        <v>3000</v>
      </c>
    </row>
    <row r="589" spans="1:14" x14ac:dyDescent="0.25">
      <c r="A589" s="151"/>
      <c r="B589" s="64"/>
      <c r="C589" s="64"/>
      <c r="D589" s="64"/>
      <c r="E589" s="64"/>
      <c r="F589" s="71" t="s">
        <v>583</v>
      </c>
      <c r="G589" s="64">
        <v>4269</v>
      </c>
      <c r="H589" s="21">
        <f t="shared" si="85"/>
        <v>3000</v>
      </c>
      <c r="I589" s="21">
        <v>3000</v>
      </c>
      <c r="J589" s="21"/>
      <c r="K589" s="145">
        <f t="shared" si="86"/>
        <v>714.28571428571433</v>
      </c>
      <c r="L589" s="145">
        <f t="shared" si="87"/>
        <v>1440.4761904761906</v>
      </c>
      <c r="M589" s="145">
        <f t="shared" si="88"/>
        <v>2226.1904761904761</v>
      </c>
      <c r="N589" s="145">
        <f t="shared" si="89"/>
        <v>3000</v>
      </c>
    </row>
    <row r="590" spans="1:14" x14ac:dyDescent="0.25">
      <c r="A590" s="151"/>
      <c r="B590" s="64"/>
      <c r="C590" s="64"/>
      <c r="D590" s="64"/>
      <c r="E590" s="64"/>
      <c r="F590" s="71" t="s">
        <v>596</v>
      </c>
      <c r="G590" s="64">
        <v>5112</v>
      </c>
      <c r="H590" s="21">
        <f t="shared" si="85"/>
        <v>20000</v>
      </c>
      <c r="I590" s="21"/>
      <c r="J590" s="21">
        <v>20000</v>
      </c>
      <c r="K590" s="145">
        <f t="shared" si="86"/>
        <v>4761.9047619047624</v>
      </c>
      <c r="L590" s="145">
        <f t="shared" si="87"/>
        <v>9603.1746031746043</v>
      </c>
      <c r="M590" s="145">
        <v>15000</v>
      </c>
      <c r="N590" s="145">
        <f t="shared" si="89"/>
        <v>20000</v>
      </c>
    </row>
    <row r="591" spans="1:14" ht="27" x14ac:dyDescent="0.25">
      <c r="A591" s="151"/>
      <c r="B591" s="64"/>
      <c r="C591" s="64"/>
      <c r="D591" s="64"/>
      <c r="E591" s="64"/>
      <c r="F591" s="71" t="s">
        <v>582</v>
      </c>
      <c r="G591" s="64">
        <v>5113</v>
      </c>
      <c r="H591" s="21">
        <f>SUM(I591:J591)</f>
        <v>2500</v>
      </c>
      <c r="I591" s="21"/>
      <c r="J591" s="21">
        <v>2500</v>
      </c>
      <c r="K591" s="145">
        <f t="shared" si="86"/>
        <v>595.2380952380953</v>
      </c>
      <c r="L591" s="145">
        <f t="shared" si="87"/>
        <v>1200.3968253968255</v>
      </c>
      <c r="M591" s="145">
        <f t="shared" si="88"/>
        <v>1855.1587301587301</v>
      </c>
      <c r="N591" s="145">
        <f t="shared" si="89"/>
        <v>2500</v>
      </c>
    </row>
    <row r="592" spans="1:14" ht="58.5" customHeight="1" x14ac:dyDescent="0.25">
      <c r="A592" s="151"/>
      <c r="B592" s="64"/>
      <c r="C592" s="64"/>
      <c r="D592" s="64"/>
      <c r="E592" s="64"/>
      <c r="F592" s="71"/>
      <c r="G592" s="64"/>
      <c r="H592" s="21"/>
      <c r="I592" s="21"/>
      <c r="J592" s="21"/>
      <c r="K592" s="21"/>
      <c r="L592" s="21"/>
      <c r="M592" s="21"/>
      <c r="N592" s="21"/>
    </row>
    <row r="593" spans="1:14" x14ac:dyDescent="0.25">
      <c r="A593" s="151"/>
      <c r="B593" s="64">
        <v>2830</v>
      </c>
      <c r="C593" s="64" t="s">
        <v>13</v>
      </c>
      <c r="D593" s="64">
        <v>3</v>
      </c>
      <c r="E593" s="64">
        <v>0</v>
      </c>
      <c r="F593" s="75"/>
      <c r="G593" s="64"/>
      <c r="H593" s="21"/>
      <c r="I593" s="21"/>
      <c r="J593" s="21"/>
      <c r="K593" s="21"/>
      <c r="L593" s="21"/>
      <c r="M593" s="21"/>
      <c r="N593" s="21"/>
    </row>
    <row r="594" spans="1:14" ht="40.5" x14ac:dyDescent="0.25">
      <c r="A594" s="151"/>
      <c r="B594" s="64">
        <v>2830</v>
      </c>
      <c r="C594" s="64" t="s">
        <v>13</v>
      </c>
      <c r="D594" s="64">
        <v>3</v>
      </c>
      <c r="E594" s="64">
        <v>0</v>
      </c>
      <c r="F594" s="71" t="s">
        <v>322</v>
      </c>
      <c r="G594" s="64"/>
      <c r="H594" s="21"/>
      <c r="I594" s="21"/>
      <c r="J594" s="21"/>
      <c r="K594" s="21"/>
      <c r="L594" s="21"/>
      <c r="M594" s="21"/>
      <c r="N594" s="21"/>
    </row>
    <row r="595" spans="1:14" ht="54" customHeight="1" x14ac:dyDescent="0.25">
      <c r="A595" s="151"/>
      <c r="B595" s="64">
        <v>2831</v>
      </c>
      <c r="C595" s="64" t="s">
        <v>13</v>
      </c>
      <c r="D595" s="64">
        <v>3</v>
      </c>
      <c r="E595" s="64">
        <v>1</v>
      </c>
      <c r="F595" s="71" t="s">
        <v>156</v>
      </c>
      <c r="G595" s="64"/>
      <c r="H595" s="21"/>
      <c r="I595" s="21"/>
      <c r="J595" s="21"/>
      <c r="K595" s="21"/>
      <c r="L595" s="21"/>
      <c r="M595" s="21"/>
      <c r="N595" s="21"/>
    </row>
    <row r="596" spans="1:14" x14ac:dyDescent="0.25">
      <c r="A596" s="151"/>
      <c r="B596" s="64"/>
      <c r="C596" s="64"/>
      <c r="D596" s="64"/>
      <c r="E596" s="64"/>
      <c r="F596" s="71" t="s">
        <v>323</v>
      </c>
      <c r="G596" s="64"/>
      <c r="H596" s="21"/>
      <c r="I596" s="21"/>
      <c r="J596" s="21"/>
      <c r="K596" s="21"/>
      <c r="L596" s="21"/>
      <c r="M596" s="21"/>
      <c r="N596" s="21"/>
    </row>
    <row r="597" spans="1:14" ht="40.5" x14ac:dyDescent="0.25">
      <c r="A597" s="151"/>
      <c r="B597" s="64"/>
      <c r="C597" s="64"/>
      <c r="D597" s="64"/>
      <c r="E597" s="64"/>
      <c r="F597" s="71" t="s">
        <v>177</v>
      </c>
      <c r="G597" s="64"/>
      <c r="H597" s="21"/>
      <c r="I597" s="21"/>
      <c r="J597" s="21"/>
      <c r="K597" s="21"/>
      <c r="L597" s="21"/>
      <c r="M597" s="21"/>
      <c r="N597" s="21"/>
    </row>
    <row r="598" spans="1:14" x14ac:dyDescent="0.25">
      <c r="A598" s="151"/>
      <c r="B598" s="64"/>
      <c r="C598" s="64"/>
      <c r="D598" s="64"/>
      <c r="E598" s="64"/>
      <c r="F598" s="71" t="s">
        <v>178</v>
      </c>
      <c r="G598" s="64"/>
      <c r="H598" s="21"/>
      <c r="I598" s="21"/>
      <c r="J598" s="21"/>
      <c r="K598" s="21"/>
      <c r="L598" s="21"/>
      <c r="M598" s="21"/>
      <c r="N598" s="21"/>
    </row>
    <row r="599" spans="1:14" ht="57.75" customHeight="1" x14ac:dyDescent="0.25">
      <c r="A599" s="151"/>
      <c r="B599" s="64">
        <v>2832</v>
      </c>
      <c r="C599" s="64" t="s">
        <v>13</v>
      </c>
      <c r="D599" s="64">
        <v>3</v>
      </c>
      <c r="E599" s="64">
        <v>2</v>
      </c>
      <c r="F599" s="71" t="s">
        <v>178</v>
      </c>
      <c r="G599" s="64"/>
      <c r="H599" s="21"/>
      <c r="I599" s="21"/>
      <c r="J599" s="21"/>
      <c r="K599" s="21"/>
      <c r="L599" s="21"/>
      <c r="M599" s="21"/>
      <c r="N599" s="21"/>
    </row>
    <row r="600" spans="1:14" x14ac:dyDescent="0.25">
      <c r="A600" s="151"/>
      <c r="B600" s="64"/>
      <c r="C600" s="64"/>
      <c r="D600" s="64"/>
      <c r="E600" s="64"/>
      <c r="F600" s="71" t="s">
        <v>324</v>
      </c>
      <c r="G600" s="64"/>
      <c r="H600" s="21"/>
      <c r="I600" s="21"/>
      <c r="J600" s="21"/>
      <c r="K600" s="21"/>
      <c r="L600" s="21"/>
      <c r="M600" s="21"/>
      <c r="N600" s="21"/>
    </row>
    <row r="601" spans="1:14" ht="40.5" x14ac:dyDescent="0.25">
      <c r="A601" s="151"/>
      <c r="B601" s="64"/>
      <c r="C601" s="64"/>
      <c r="D601" s="64"/>
      <c r="E601" s="64"/>
      <c r="F601" s="71" t="s">
        <v>177</v>
      </c>
      <c r="G601" s="64"/>
      <c r="H601" s="21"/>
      <c r="I601" s="21"/>
      <c r="J601" s="21"/>
      <c r="K601" s="21"/>
      <c r="L601" s="21"/>
      <c r="M601" s="21"/>
      <c r="N601" s="21"/>
    </row>
    <row r="602" spans="1:14" x14ac:dyDescent="0.25">
      <c r="A602" s="151"/>
      <c r="B602" s="64"/>
      <c r="C602" s="64"/>
      <c r="D602" s="64"/>
      <c r="E602" s="64"/>
      <c r="F602" s="71" t="s">
        <v>178</v>
      </c>
      <c r="G602" s="64"/>
      <c r="H602" s="21"/>
      <c r="I602" s="21"/>
      <c r="J602" s="21"/>
      <c r="K602" s="21"/>
      <c r="L602" s="21"/>
      <c r="M602" s="21"/>
      <c r="N602" s="21"/>
    </row>
    <row r="603" spans="1:14" ht="57" customHeight="1" x14ac:dyDescent="0.25">
      <c r="A603" s="151"/>
      <c r="B603" s="64">
        <v>2833</v>
      </c>
      <c r="C603" s="64" t="s">
        <v>13</v>
      </c>
      <c r="D603" s="64">
        <v>3</v>
      </c>
      <c r="E603" s="64">
        <v>3</v>
      </c>
      <c r="F603" s="71" t="s">
        <v>178</v>
      </c>
      <c r="G603" s="64"/>
      <c r="H603" s="21"/>
      <c r="I603" s="21"/>
      <c r="J603" s="21"/>
      <c r="K603" s="21"/>
      <c r="L603" s="21"/>
      <c r="M603" s="21"/>
      <c r="N603" s="21"/>
    </row>
    <row r="604" spans="1:14" x14ac:dyDescent="0.25">
      <c r="A604" s="151"/>
      <c r="B604" s="64">
        <v>2833</v>
      </c>
      <c r="C604" s="64" t="s">
        <v>13</v>
      </c>
      <c r="D604" s="64">
        <v>3</v>
      </c>
      <c r="E604" s="64">
        <v>3</v>
      </c>
      <c r="F604" s="71" t="s">
        <v>325</v>
      </c>
      <c r="G604" s="64"/>
      <c r="H604" s="21"/>
      <c r="I604" s="21"/>
      <c r="J604" s="21"/>
      <c r="K604" s="21"/>
      <c r="L604" s="21"/>
      <c r="M604" s="21"/>
      <c r="N604" s="21"/>
    </row>
    <row r="605" spans="1:14" ht="42" customHeight="1" x14ac:dyDescent="0.25">
      <c r="A605" s="151"/>
      <c r="B605" s="64"/>
      <c r="C605" s="64"/>
      <c r="D605" s="64"/>
      <c r="E605" s="64"/>
      <c r="F605" s="71" t="s">
        <v>177</v>
      </c>
      <c r="G605" s="64"/>
      <c r="H605" s="21"/>
      <c r="I605" s="21"/>
      <c r="J605" s="21"/>
      <c r="K605" s="21"/>
      <c r="L605" s="21"/>
      <c r="M605" s="21"/>
      <c r="N605" s="21"/>
    </row>
    <row r="606" spans="1:14" x14ac:dyDescent="0.25">
      <c r="A606" s="151"/>
      <c r="B606" s="64"/>
      <c r="C606" s="64"/>
      <c r="D606" s="64"/>
      <c r="E606" s="64"/>
      <c r="F606" s="71" t="s">
        <v>178</v>
      </c>
      <c r="G606" s="64"/>
      <c r="H606" s="21"/>
      <c r="I606" s="21"/>
      <c r="J606" s="21"/>
      <c r="K606" s="21"/>
      <c r="L606" s="21"/>
      <c r="M606" s="21"/>
      <c r="N606" s="21"/>
    </row>
    <row r="607" spans="1:14" ht="27" x14ac:dyDescent="0.25">
      <c r="A607" s="151"/>
      <c r="B607" s="64">
        <v>2840</v>
      </c>
      <c r="C607" s="64" t="s">
        <v>13</v>
      </c>
      <c r="D607" s="64">
        <v>4</v>
      </c>
      <c r="E607" s="64">
        <v>0</v>
      </c>
      <c r="F607" s="71" t="s">
        <v>326</v>
      </c>
      <c r="G607" s="64"/>
      <c r="H607" s="21">
        <f>+H608+H612</f>
        <v>25000</v>
      </c>
      <c r="I607" s="21">
        <f t="shared" ref="I607:N607" si="90">+I608+I612</f>
        <v>25000</v>
      </c>
      <c r="J607" s="21">
        <f t="shared" si="90"/>
        <v>0</v>
      </c>
      <c r="K607" s="21">
        <f t="shared" si="90"/>
        <v>5952.3809523809523</v>
      </c>
      <c r="L607" s="21">
        <f t="shared" si="90"/>
        <v>12003.968253968254</v>
      </c>
      <c r="M607" s="21">
        <f t="shared" si="90"/>
        <v>22420.634920634919</v>
      </c>
      <c r="N607" s="21">
        <f t="shared" si="90"/>
        <v>25000</v>
      </c>
    </row>
    <row r="608" spans="1:14" ht="59.25" customHeight="1" x14ac:dyDescent="0.25">
      <c r="A608" s="151"/>
      <c r="B608" s="64">
        <v>2841</v>
      </c>
      <c r="C608" s="64" t="s">
        <v>13</v>
      </c>
      <c r="D608" s="64">
        <v>4</v>
      </c>
      <c r="E608" s="64">
        <v>1</v>
      </c>
      <c r="F608" s="71" t="s">
        <v>156</v>
      </c>
      <c r="G608" s="64"/>
      <c r="H608" s="21">
        <f>+H611</f>
        <v>10000</v>
      </c>
      <c r="I608" s="21">
        <f t="shared" ref="I608:N608" si="91">+I611</f>
        <v>10000</v>
      </c>
      <c r="J608" s="21">
        <f t="shared" si="91"/>
        <v>0</v>
      </c>
      <c r="K608" s="21">
        <f t="shared" si="91"/>
        <v>2380.9523809523812</v>
      </c>
      <c r="L608" s="21">
        <f t="shared" si="91"/>
        <v>4801.5873015873021</v>
      </c>
      <c r="M608" s="21">
        <f t="shared" si="91"/>
        <v>7420.6349206349205</v>
      </c>
      <c r="N608" s="21">
        <f t="shared" si="91"/>
        <v>10000</v>
      </c>
    </row>
    <row r="609" spans="1:14" x14ac:dyDescent="0.25">
      <c r="A609" s="151"/>
      <c r="B609" s="64"/>
      <c r="C609" s="64"/>
      <c r="D609" s="64"/>
      <c r="E609" s="64"/>
      <c r="F609" s="71" t="s">
        <v>327</v>
      </c>
      <c r="G609" s="64"/>
      <c r="H609" s="21"/>
      <c r="I609" s="21"/>
      <c r="J609" s="21"/>
      <c r="K609" s="21"/>
      <c r="L609" s="21"/>
      <c r="M609" s="21"/>
      <c r="N609" s="21"/>
    </row>
    <row r="610" spans="1:14" ht="53.25" customHeight="1" x14ac:dyDescent="0.25">
      <c r="A610" s="151"/>
      <c r="B610" s="64"/>
      <c r="C610" s="64"/>
      <c r="D610" s="64"/>
      <c r="E610" s="64"/>
      <c r="F610" s="71" t="s">
        <v>177</v>
      </c>
      <c r="G610" s="64"/>
      <c r="H610" s="21"/>
      <c r="I610" s="21"/>
      <c r="J610" s="21"/>
      <c r="K610" s="21"/>
      <c r="L610" s="21"/>
      <c r="M610" s="21"/>
      <c r="N610" s="21"/>
    </row>
    <row r="611" spans="1:14" ht="27" x14ac:dyDescent="0.25">
      <c r="A611" s="151"/>
      <c r="B611" s="64"/>
      <c r="C611" s="64"/>
      <c r="D611" s="64"/>
      <c r="E611" s="64"/>
      <c r="F611" s="71" t="s">
        <v>751</v>
      </c>
      <c r="G611" s="64">
        <v>4819</v>
      </c>
      <c r="H611" s="21">
        <f>SUM(I611:J611)</f>
        <v>10000</v>
      </c>
      <c r="I611" s="21">
        <v>10000</v>
      </c>
      <c r="J611" s="21"/>
      <c r="K611" s="145">
        <f t="shared" ref="K611" si="92">+H611/252*60</f>
        <v>2380.9523809523812</v>
      </c>
      <c r="L611" s="145">
        <f t="shared" ref="L611" si="93">+H611/252*121</f>
        <v>4801.5873015873021</v>
      </c>
      <c r="M611" s="145">
        <f t="shared" ref="M611" si="94">+H611/252*187</f>
        <v>7420.6349206349205</v>
      </c>
      <c r="N611" s="145">
        <f t="shared" ref="N611" si="95">+H611</f>
        <v>10000</v>
      </c>
    </row>
    <row r="612" spans="1:14" ht="40.5" x14ac:dyDescent="0.25">
      <c r="A612" s="151"/>
      <c r="B612" s="64">
        <v>2842</v>
      </c>
      <c r="C612" s="64" t="s">
        <v>13</v>
      </c>
      <c r="D612" s="64">
        <v>4</v>
      </c>
      <c r="E612" s="64">
        <v>2</v>
      </c>
      <c r="F612" s="71" t="s">
        <v>328</v>
      </c>
      <c r="G612" s="64"/>
      <c r="H612" s="21">
        <f>+H613+H614</f>
        <v>15000</v>
      </c>
      <c r="I612" s="21">
        <f t="shared" ref="I612:N612" si="96">+I613+I614</f>
        <v>15000</v>
      </c>
      <c r="J612" s="21">
        <f t="shared" si="96"/>
        <v>0</v>
      </c>
      <c r="K612" s="21">
        <f t="shared" si="96"/>
        <v>3571.4285714285716</v>
      </c>
      <c r="L612" s="21">
        <f t="shared" si="96"/>
        <v>7202.3809523809523</v>
      </c>
      <c r="M612" s="21">
        <f t="shared" si="96"/>
        <v>15000</v>
      </c>
      <c r="N612" s="21">
        <f t="shared" si="96"/>
        <v>15000</v>
      </c>
    </row>
    <row r="613" spans="1:14" ht="27" x14ac:dyDescent="0.25">
      <c r="A613" s="151"/>
      <c r="B613" s="64"/>
      <c r="C613" s="64"/>
      <c r="D613" s="64"/>
      <c r="E613" s="64"/>
      <c r="F613" s="71" t="s">
        <v>751</v>
      </c>
      <c r="G613" s="64">
        <v>4819</v>
      </c>
      <c r="H613" s="21">
        <f>SUM(I613:J613)</f>
        <v>15000</v>
      </c>
      <c r="I613" s="21">
        <v>15000</v>
      </c>
      <c r="J613" s="21"/>
      <c r="K613" s="145">
        <f t="shared" ref="K613" si="97">+H613/252*60</f>
        <v>3571.4285714285716</v>
      </c>
      <c r="L613" s="145">
        <f t="shared" ref="L613" si="98">+H613/252*121</f>
        <v>7202.3809523809523</v>
      </c>
      <c r="M613" s="145">
        <v>15000</v>
      </c>
      <c r="N613" s="145">
        <f t="shared" ref="N613" si="99">+H613</f>
        <v>15000</v>
      </c>
    </row>
    <row r="614" spans="1:14" ht="40.5" x14ac:dyDescent="0.25">
      <c r="A614" s="151"/>
      <c r="B614" s="64"/>
      <c r="C614" s="64"/>
      <c r="D614" s="64"/>
      <c r="E614" s="64"/>
      <c r="F614" s="71" t="s">
        <v>856</v>
      </c>
      <c r="G614" s="64" t="s">
        <v>67</v>
      </c>
      <c r="H614" s="21">
        <f t="shared" ref="H614" si="100">SUM(I614:J614)</f>
        <v>0</v>
      </c>
      <c r="I614" s="21"/>
      <c r="J614" s="21"/>
      <c r="K614" s="21"/>
      <c r="L614" s="21"/>
      <c r="M614" s="21"/>
      <c r="N614" s="21"/>
    </row>
    <row r="615" spans="1:14" ht="39" customHeight="1" x14ac:dyDescent="0.25">
      <c r="A615" s="151"/>
      <c r="B615" s="64"/>
      <c r="C615" s="64"/>
      <c r="D615" s="64"/>
      <c r="E615" s="64"/>
      <c r="F615" s="71" t="s">
        <v>178</v>
      </c>
      <c r="G615" s="64"/>
      <c r="H615" s="21"/>
      <c r="I615" s="21"/>
      <c r="J615" s="21"/>
      <c r="K615" s="21"/>
      <c r="L615" s="21"/>
      <c r="M615" s="21"/>
      <c r="N615" s="21"/>
    </row>
    <row r="616" spans="1:14" ht="57" customHeight="1" x14ac:dyDescent="0.25">
      <c r="A616" s="151"/>
      <c r="B616" s="64">
        <v>2843</v>
      </c>
      <c r="C616" s="64" t="s">
        <v>13</v>
      </c>
      <c r="D616" s="64">
        <v>4</v>
      </c>
      <c r="E616" s="64">
        <v>3</v>
      </c>
      <c r="F616" s="71" t="s">
        <v>178</v>
      </c>
      <c r="G616" s="64"/>
      <c r="H616" s="21"/>
      <c r="I616" s="21"/>
      <c r="J616" s="21"/>
      <c r="K616" s="21"/>
      <c r="L616" s="21"/>
      <c r="M616" s="21"/>
      <c r="N616" s="21"/>
    </row>
    <row r="617" spans="1:14" ht="27" x14ac:dyDescent="0.25">
      <c r="A617" s="151"/>
      <c r="B617" s="64"/>
      <c r="C617" s="64"/>
      <c r="D617" s="64"/>
      <c r="E617" s="64"/>
      <c r="F617" s="71" t="s">
        <v>326</v>
      </c>
      <c r="G617" s="64"/>
      <c r="H617" s="21"/>
      <c r="I617" s="21"/>
      <c r="J617" s="21"/>
      <c r="K617" s="21"/>
      <c r="L617" s="21"/>
      <c r="M617" s="21"/>
      <c r="N617" s="21"/>
    </row>
    <row r="618" spans="1:14" ht="40.5" x14ac:dyDescent="0.25">
      <c r="A618" s="151"/>
      <c r="B618" s="64"/>
      <c r="C618" s="64"/>
      <c r="D618" s="64"/>
      <c r="E618" s="64"/>
      <c r="F618" s="71" t="s">
        <v>177</v>
      </c>
      <c r="G618" s="64"/>
      <c r="H618" s="21"/>
      <c r="I618" s="21"/>
      <c r="J618" s="21"/>
      <c r="K618" s="21"/>
      <c r="L618" s="21"/>
      <c r="M618" s="21"/>
      <c r="N618" s="21"/>
    </row>
    <row r="619" spans="1:14" x14ac:dyDescent="0.25">
      <c r="A619" s="151"/>
      <c r="B619" s="64"/>
      <c r="C619" s="64"/>
      <c r="D619" s="64"/>
      <c r="E619" s="64"/>
      <c r="F619" s="71" t="s">
        <v>178</v>
      </c>
      <c r="G619" s="64"/>
      <c r="H619" s="21"/>
      <c r="I619" s="21"/>
      <c r="J619" s="21"/>
      <c r="K619" s="21"/>
      <c r="L619" s="21"/>
      <c r="M619" s="21"/>
      <c r="N619" s="21"/>
    </row>
    <row r="620" spans="1:14" x14ac:dyDescent="0.25">
      <c r="A620" s="151"/>
      <c r="B620" s="64">
        <v>2850</v>
      </c>
      <c r="C620" s="64" t="s">
        <v>13</v>
      </c>
      <c r="D620" s="64">
        <v>5</v>
      </c>
      <c r="E620" s="64">
        <v>0</v>
      </c>
      <c r="F620" s="71" t="s">
        <v>178</v>
      </c>
      <c r="G620" s="64"/>
      <c r="H620" s="21"/>
      <c r="I620" s="21"/>
      <c r="J620" s="21"/>
      <c r="K620" s="21"/>
      <c r="L620" s="21"/>
      <c r="M620" s="21"/>
      <c r="N620" s="21"/>
    </row>
    <row r="621" spans="1:14" ht="27" x14ac:dyDescent="0.25">
      <c r="A621" s="151"/>
      <c r="B621" s="64"/>
      <c r="C621" s="64"/>
      <c r="D621" s="64"/>
      <c r="E621" s="64"/>
      <c r="F621" s="74" t="s">
        <v>329</v>
      </c>
      <c r="G621" s="64"/>
      <c r="H621" s="21"/>
      <c r="I621" s="21"/>
      <c r="J621" s="21"/>
      <c r="K621" s="21"/>
      <c r="L621" s="21"/>
      <c r="M621" s="21"/>
      <c r="N621" s="21"/>
    </row>
    <row r="622" spans="1:14" ht="58.5" customHeight="1" x14ac:dyDescent="0.25">
      <c r="A622" s="151"/>
      <c r="B622" s="64">
        <v>2851</v>
      </c>
      <c r="C622" s="64" t="s">
        <v>13</v>
      </c>
      <c r="D622" s="64">
        <v>5</v>
      </c>
      <c r="E622" s="64">
        <v>1</v>
      </c>
      <c r="F622" s="71" t="s">
        <v>156</v>
      </c>
      <c r="G622" s="64"/>
      <c r="H622" s="21"/>
      <c r="I622" s="21"/>
      <c r="J622" s="21"/>
      <c r="K622" s="21"/>
      <c r="L622" s="21"/>
      <c r="M622" s="21"/>
      <c r="N622" s="21"/>
    </row>
    <row r="623" spans="1:14" ht="27" x14ac:dyDescent="0.25">
      <c r="A623" s="151"/>
      <c r="B623" s="64"/>
      <c r="C623" s="64"/>
      <c r="D623" s="64"/>
      <c r="E623" s="64"/>
      <c r="F623" s="74" t="s">
        <v>329</v>
      </c>
      <c r="G623" s="64"/>
      <c r="H623" s="21"/>
      <c r="I623" s="21"/>
      <c r="J623" s="21"/>
      <c r="K623" s="21"/>
      <c r="L623" s="21"/>
      <c r="M623" s="21"/>
      <c r="N623" s="21"/>
    </row>
    <row r="624" spans="1:14" ht="40.5" x14ac:dyDescent="0.25">
      <c r="A624" s="151"/>
      <c r="B624" s="64"/>
      <c r="C624" s="64"/>
      <c r="D624" s="64"/>
      <c r="E624" s="64"/>
      <c r="F624" s="71" t="s">
        <v>177</v>
      </c>
      <c r="G624" s="64"/>
      <c r="H624" s="21"/>
      <c r="I624" s="21"/>
      <c r="J624" s="21"/>
      <c r="K624" s="21"/>
      <c r="L624" s="21"/>
      <c r="M624" s="21"/>
      <c r="N624" s="21"/>
    </row>
    <row r="625" spans="1:14" ht="35.25" customHeight="1" x14ac:dyDescent="0.25">
      <c r="A625" s="151"/>
      <c r="B625" s="64"/>
      <c r="C625" s="64"/>
      <c r="D625" s="64"/>
      <c r="E625" s="64"/>
      <c r="F625" s="71" t="s">
        <v>178</v>
      </c>
      <c r="G625" s="64"/>
      <c r="H625" s="21"/>
      <c r="I625" s="21"/>
      <c r="J625" s="21"/>
      <c r="K625" s="21"/>
      <c r="L625" s="21"/>
      <c r="M625" s="21"/>
      <c r="N625" s="21"/>
    </row>
    <row r="626" spans="1:14" ht="39" customHeight="1" x14ac:dyDescent="0.25">
      <c r="A626" s="151"/>
      <c r="B626" s="64"/>
      <c r="C626" s="64"/>
      <c r="D626" s="64"/>
      <c r="E626" s="64"/>
      <c r="F626" s="71"/>
      <c r="G626" s="64"/>
      <c r="H626" s="21"/>
      <c r="I626" s="21"/>
      <c r="J626" s="21"/>
      <c r="K626" s="21"/>
      <c r="L626" s="21"/>
      <c r="M626" s="21"/>
      <c r="N626" s="21"/>
    </row>
    <row r="627" spans="1:14" ht="27" x14ac:dyDescent="0.25">
      <c r="A627" s="151"/>
      <c r="B627" s="64">
        <v>2860</v>
      </c>
      <c r="C627" s="64" t="s">
        <v>13</v>
      </c>
      <c r="D627" s="64">
        <v>6</v>
      </c>
      <c r="E627" s="64">
        <v>0</v>
      </c>
      <c r="F627" s="74" t="s">
        <v>330</v>
      </c>
      <c r="G627" s="64"/>
      <c r="H627" s="21">
        <f>H628</f>
        <v>37201.24</v>
      </c>
      <c r="I627" s="21">
        <f t="shared" ref="I627:N627" si="101">I628</f>
        <v>37201.24</v>
      </c>
      <c r="J627" s="21">
        <f t="shared" si="101"/>
        <v>0</v>
      </c>
      <c r="K627" s="21">
        <f t="shared" si="101"/>
        <v>11058.678095238096</v>
      </c>
      <c r="L627" s="21">
        <f t="shared" si="101"/>
        <v>20063.740158730157</v>
      </c>
      <c r="M627" s="21">
        <f t="shared" si="101"/>
        <v>29806.922063492064</v>
      </c>
      <c r="N627" s="21">
        <f t="shared" si="101"/>
        <v>37201.24</v>
      </c>
    </row>
    <row r="628" spans="1:14" ht="51.75" customHeight="1" x14ac:dyDescent="0.25">
      <c r="A628" s="151"/>
      <c r="B628" s="64">
        <v>2861</v>
      </c>
      <c r="C628" s="64" t="s">
        <v>13</v>
      </c>
      <c r="D628" s="64">
        <v>6</v>
      </c>
      <c r="E628" s="64">
        <v>1</v>
      </c>
      <c r="F628" s="71" t="s">
        <v>581</v>
      </c>
      <c r="G628" s="64"/>
      <c r="H628" s="21">
        <f t="shared" ref="H628:N628" si="102">SUM(H631:H633)</f>
        <v>37201.24</v>
      </c>
      <c r="I628" s="21">
        <f t="shared" si="102"/>
        <v>37201.24</v>
      </c>
      <c r="J628" s="21">
        <f t="shared" si="102"/>
        <v>0</v>
      </c>
      <c r="K628" s="21">
        <f t="shared" si="102"/>
        <v>11058.678095238096</v>
      </c>
      <c r="L628" s="21">
        <f t="shared" si="102"/>
        <v>20063.740158730157</v>
      </c>
      <c r="M628" s="21">
        <f t="shared" si="102"/>
        <v>29806.922063492064</v>
      </c>
      <c r="N628" s="21">
        <f t="shared" si="102"/>
        <v>37201.24</v>
      </c>
    </row>
    <row r="629" spans="1:14" x14ac:dyDescent="0.25">
      <c r="A629" s="151"/>
      <c r="B629" s="64"/>
      <c r="C629" s="64"/>
      <c r="D629" s="64"/>
      <c r="E629" s="64"/>
      <c r="F629" s="74"/>
      <c r="G629" s="64"/>
      <c r="H629" s="21"/>
      <c r="I629" s="21"/>
      <c r="J629" s="21"/>
      <c r="K629" s="21"/>
      <c r="L629" s="21"/>
      <c r="M629" s="21"/>
      <c r="N629" s="21"/>
    </row>
    <row r="630" spans="1:14" ht="40.5" x14ac:dyDescent="0.25">
      <c r="A630" s="151"/>
      <c r="B630" s="64"/>
      <c r="C630" s="64"/>
      <c r="D630" s="64"/>
      <c r="E630" s="64"/>
      <c r="F630" s="71" t="s">
        <v>177</v>
      </c>
      <c r="G630" s="64"/>
      <c r="H630" s="21"/>
      <c r="I630" s="21"/>
      <c r="J630" s="21"/>
      <c r="K630" s="21"/>
      <c r="L630" s="21"/>
      <c r="M630" s="21"/>
      <c r="N630" s="21"/>
    </row>
    <row r="631" spans="1:14" ht="36" customHeight="1" x14ac:dyDescent="0.25">
      <c r="A631" s="151"/>
      <c r="B631" s="64"/>
      <c r="C631" s="64"/>
      <c r="D631" s="64"/>
      <c r="E631" s="64"/>
      <c r="F631" s="71" t="s">
        <v>565</v>
      </c>
      <c r="G631" s="64">
        <v>4861</v>
      </c>
      <c r="H631" s="21">
        <f>SUM(I631:J631)</f>
        <v>37201.24</v>
      </c>
      <c r="I631" s="21">
        <f>35000+2201.24</f>
        <v>37201.24</v>
      </c>
      <c r="J631" s="21"/>
      <c r="K631" s="145">
        <v>11058.678095238096</v>
      </c>
      <c r="L631" s="145">
        <v>20063.740158730157</v>
      </c>
      <c r="M631" s="145">
        <v>29806.922063492064</v>
      </c>
      <c r="N631" s="145">
        <f t="shared" ref="N631" si="103">+H631</f>
        <v>37201.24</v>
      </c>
    </row>
    <row r="632" spans="1:14" ht="27" x14ac:dyDescent="0.25">
      <c r="A632" s="151"/>
      <c r="B632" s="64"/>
      <c r="C632" s="64"/>
      <c r="D632" s="64"/>
      <c r="E632" s="64"/>
      <c r="F632" s="71" t="s">
        <v>561</v>
      </c>
      <c r="G632" s="64">
        <v>4819</v>
      </c>
      <c r="H632" s="21">
        <v>0</v>
      </c>
      <c r="I632" s="21">
        <f>+H632</f>
        <v>0</v>
      </c>
      <c r="J632" s="21"/>
      <c r="K632" s="84"/>
      <c r="L632" s="84"/>
      <c r="M632" s="84"/>
      <c r="N632" s="84"/>
    </row>
    <row r="633" spans="1:14" ht="54.75" customHeight="1" x14ac:dyDescent="0.25">
      <c r="A633" s="151"/>
      <c r="B633" s="64"/>
      <c r="C633" s="64"/>
      <c r="D633" s="64"/>
      <c r="E633" s="64"/>
      <c r="F633" s="73" t="s">
        <v>566</v>
      </c>
      <c r="G633" s="64">
        <v>4727</v>
      </c>
      <c r="H633" s="21">
        <v>0</v>
      </c>
      <c r="I633" s="21">
        <f>+H633</f>
        <v>0</v>
      </c>
      <c r="J633" s="21"/>
      <c r="K633" s="84"/>
      <c r="L633" s="84"/>
      <c r="M633" s="84"/>
      <c r="N633" s="84"/>
    </row>
    <row r="634" spans="1:14" x14ac:dyDescent="0.25">
      <c r="A634" s="151"/>
      <c r="B634" s="64"/>
      <c r="C634" s="64"/>
      <c r="D634" s="64"/>
      <c r="E634" s="64"/>
      <c r="F634" s="71" t="s">
        <v>559</v>
      </c>
      <c r="G634" s="64">
        <v>4729</v>
      </c>
      <c r="H634" s="21">
        <v>0</v>
      </c>
      <c r="I634" s="21">
        <f>+H634</f>
        <v>0</v>
      </c>
      <c r="J634" s="21"/>
      <c r="K634" s="84"/>
      <c r="L634" s="84"/>
      <c r="M634" s="84"/>
      <c r="N634" s="84"/>
    </row>
    <row r="635" spans="1:14" ht="34.5" customHeight="1" x14ac:dyDescent="0.25">
      <c r="A635" s="151"/>
      <c r="B635" s="64">
        <v>2900</v>
      </c>
      <c r="C635" s="64" t="s">
        <v>14</v>
      </c>
      <c r="D635" s="64">
        <v>0</v>
      </c>
      <c r="E635" s="64">
        <v>0</v>
      </c>
      <c r="F635" s="71" t="s">
        <v>331</v>
      </c>
      <c r="G635" s="64"/>
      <c r="H635" s="21">
        <f t="shared" ref="H635:N635" si="104">+H637+H647+H658+H668+H677+H687+H694+H700</f>
        <v>1072604.7549999999</v>
      </c>
      <c r="I635" s="21">
        <f t="shared" si="104"/>
        <v>1062604.7549999999</v>
      </c>
      <c r="J635" s="21">
        <f t="shared" si="104"/>
        <v>10000</v>
      </c>
      <c r="K635" s="21">
        <f t="shared" si="104"/>
        <v>248925.04642857096</v>
      </c>
      <c r="L635" s="21">
        <f t="shared" si="104"/>
        <v>504338.36529761826</v>
      </c>
      <c r="M635" s="21">
        <f t="shared" si="104"/>
        <v>793386.02890873014</v>
      </c>
      <c r="N635" s="21">
        <f t="shared" si="104"/>
        <v>1072604.7549999999</v>
      </c>
    </row>
    <row r="636" spans="1:14" x14ac:dyDescent="0.25">
      <c r="A636" s="151"/>
      <c r="B636" s="64"/>
      <c r="C636" s="64"/>
      <c r="D636" s="64"/>
      <c r="E636" s="64"/>
      <c r="F636" s="71" t="s">
        <v>154</v>
      </c>
      <c r="G636" s="64"/>
      <c r="H636" s="21"/>
      <c r="I636" s="21"/>
      <c r="J636" s="21"/>
      <c r="K636" s="21"/>
      <c r="L636" s="21"/>
      <c r="M636" s="21"/>
      <c r="N636" s="21"/>
    </row>
    <row r="637" spans="1:14" ht="27" x14ac:dyDescent="0.25">
      <c r="A637" s="151"/>
      <c r="B637" s="64">
        <v>2910</v>
      </c>
      <c r="C637" s="64" t="s">
        <v>14</v>
      </c>
      <c r="D637" s="64">
        <v>1</v>
      </c>
      <c r="E637" s="64">
        <v>0</v>
      </c>
      <c r="F637" s="71" t="s">
        <v>332</v>
      </c>
      <c r="G637" s="64"/>
      <c r="H637" s="21">
        <f t="shared" ref="H637:N637" si="105">+H639</f>
        <v>914582</v>
      </c>
      <c r="I637" s="21">
        <f t="shared" si="105"/>
        <v>914582</v>
      </c>
      <c r="J637" s="21">
        <f t="shared" si="105"/>
        <v>0</v>
      </c>
      <c r="K637" s="21">
        <f t="shared" si="105"/>
        <v>217757.61904761902</v>
      </c>
      <c r="L637" s="21">
        <f t="shared" si="105"/>
        <v>439144.53174603172</v>
      </c>
      <c r="M637" s="21">
        <f t="shared" si="105"/>
        <v>678677.91269841266</v>
      </c>
      <c r="N637" s="21">
        <f t="shared" si="105"/>
        <v>914582</v>
      </c>
    </row>
    <row r="638" spans="1:14" ht="36.75" customHeight="1" x14ac:dyDescent="0.25">
      <c r="A638" s="151"/>
      <c r="B638" s="64"/>
      <c r="C638" s="64"/>
      <c r="D638" s="64"/>
      <c r="E638" s="64"/>
      <c r="F638" s="71" t="s">
        <v>156</v>
      </c>
      <c r="G638" s="64"/>
      <c r="H638" s="21"/>
      <c r="I638" s="21"/>
      <c r="J638" s="21"/>
      <c r="K638" s="21"/>
      <c r="L638" s="21"/>
      <c r="M638" s="21"/>
      <c r="N638" s="21"/>
    </row>
    <row r="639" spans="1:14" x14ac:dyDescent="0.25">
      <c r="A639" s="151"/>
      <c r="B639" s="64">
        <v>2911</v>
      </c>
      <c r="C639" s="64" t="s">
        <v>14</v>
      </c>
      <c r="D639" s="64">
        <v>1</v>
      </c>
      <c r="E639" s="64">
        <v>1</v>
      </c>
      <c r="F639" s="71" t="s">
        <v>333</v>
      </c>
      <c r="G639" s="64"/>
      <c r="H639" s="21">
        <f>+H640</f>
        <v>914582</v>
      </c>
      <c r="I639" s="21">
        <f t="shared" ref="I639:N639" si="106">+I640</f>
        <v>914582</v>
      </c>
      <c r="J639" s="21">
        <f t="shared" si="106"/>
        <v>0</v>
      </c>
      <c r="K639" s="21">
        <f t="shared" si="106"/>
        <v>217757.61904761902</v>
      </c>
      <c r="L639" s="21">
        <f t="shared" si="106"/>
        <v>439144.53174603172</v>
      </c>
      <c r="M639" s="21">
        <f t="shared" si="106"/>
        <v>678677.91269841266</v>
      </c>
      <c r="N639" s="21">
        <f t="shared" si="106"/>
        <v>914582</v>
      </c>
    </row>
    <row r="640" spans="1:14" x14ac:dyDescent="0.25">
      <c r="A640" s="151"/>
      <c r="B640" s="64"/>
      <c r="C640" s="64"/>
      <c r="D640" s="64"/>
      <c r="E640" s="64"/>
      <c r="F640" s="71" t="s">
        <v>580</v>
      </c>
      <c r="G640" s="64">
        <v>4511</v>
      </c>
      <c r="H640" s="21">
        <f>SUM(I640:J640)</f>
        <v>914582</v>
      </c>
      <c r="I640" s="21">
        <v>914582</v>
      </c>
      <c r="J640" s="21"/>
      <c r="K640" s="145">
        <f>+H640/252*60</f>
        <v>217757.61904761902</v>
      </c>
      <c r="L640" s="145">
        <f>+H640/252*121</f>
        <v>439144.53174603172</v>
      </c>
      <c r="M640" s="145">
        <f>+H640/252*187</f>
        <v>678677.91269841266</v>
      </c>
      <c r="N640" s="145">
        <f t="shared" ref="N640" si="107">+H640</f>
        <v>914582</v>
      </c>
    </row>
    <row r="641" spans="1:14" x14ac:dyDescent="0.25">
      <c r="A641" s="151"/>
      <c r="B641" s="64"/>
      <c r="C641" s="64"/>
      <c r="D641" s="64"/>
      <c r="E641" s="64"/>
      <c r="F641" s="71"/>
      <c r="G641" s="64"/>
      <c r="H641" s="21"/>
      <c r="I641" s="21"/>
      <c r="J641" s="21"/>
      <c r="K641" s="21"/>
      <c r="L641" s="21"/>
      <c r="M641" s="21"/>
      <c r="N641" s="21"/>
    </row>
    <row r="642" spans="1:14" x14ac:dyDescent="0.25">
      <c r="A642" s="151"/>
      <c r="B642" s="64"/>
      <c r="C642" s="64"/>
      <c r="D642" s="64"/>
      <c r="E642" s="64"/>
      <c r="F642" s="71" t="s">
        <v>178</v>
      </c>
      <c r="G642" s="64"/>
      <c r="H642" s="21"/>
      <c r="I642" s="21"/>
      <c r="J642" s="21"/>
      <c r="K642" s="21"/>
      <c r="L642" s="21"/>
      <c r="M642" s="21"/>
      <c r="N642" s="21"/>
    </row>
    <row r="643" spans="1:14" ht="56.25" customHeight="1" x14ac:dyDescent="0.25">
      <c r="A643" s="151"/>
      <c r="B643" s="64">
        <v>2912</v>
      </c>
      <c r="C643" s="64" t="s">
        <v>14</v>
      </c>
      <c r="D643" s="64">
        <v>1</v>
      </c>
      <c r="E643" s="64">
        <v>2</v>
      </c>
      <c r="F643" s="71" t="s">
        <v>178</v>
      </c>
      <c r="G643" s="64"/>
      <c r="H643" s="21"/>
      <c r="I643" s="21"/>
      <c r="J643" s="21"/>
      <c r="K643" s="21"/>
      <c r="L643" s="21"/>
      <c r="M643" s="21"/>
      <c r="N643" s="21"/>
    </row>
    <row r="644" spans="1:14" x14ac:dyDescent="0.25">
      <c r="A644" s="151"/>
      <c r="B644" s="64"/>
      <c r="C644" s="64"/>
      <c r="D644" s="64"/>
      <c r="E644" s="64"/>
      <c r="F644" s="71" t="s">
        <v>334</v>
      </c>
      <c r="G644" s="64"/>
      <c r="H644" s="21"/>
      <c r="I644" s="21"/>
      <c r="J644" s="21"/>
      <c r="K644" s="21"/>
      <c r="L644" s="21"/>
      <c r="M644" s="21"/>
      <c r="N644" s="21"/>
    </row>
    <row r="645" spans="1:14" ht="40.5" x14ac:dyDescent="0.25">
      <c r="A645" s="151"/>
      <c r="B645" s="64"/>
      <c r="C645" s="64"/>
      <c r="D645" s="64"/>
      <c r="E645" s="64"/>
      <c r="F645" s="71" t="s">
        <v>177</v>
      </c>
      <c r="G645" s="64"/>
      <c r="H645" s="21"/>
      <c r="I645" s="21"/>
      <c r="J645" s="21"/>
      <c r="K645" s="21"/>
      <c r="L645" s="21"/>
      <c r="M645" s="21"/>
      <c r="N645" s="21"/>
    </row>
    <row r="646" spans="1:14" x14ac:dyDescent="0.25">
      <c r="A646" s="151"/>
      <c r="B646" s="64"/>
      <c r="C646" s="64"/>
      <c r="D646" s="64"/>
      <c r="E646" s="64"/>
      <c r="F646" s="71" t="s">
        <v>178</v>
      </c>
      <c r="G646" s="64"/>
      <c r="H646" s="21"/>
      <c r="I646" s="21"/>
      <c r="J646" s="21"/>
      <c r="K646" s="21"/>
      <c r="L646" s="21"/>
      <c r="M646" s="21"/>
      <c r="N646" s="21"/>
    </row>
    <row r="647" spans="1:14" x14ac:dyDescent="0.25">
      <c r="A647" s="151"/>
      <c r="B647" s="64">
        <v>2920</v>
      </c>
      <c r="C647" s="64" t="s">
        <v>14</v>
      </c>
      <c r="D647" s="64">
        <v>2</v>
      </c>
      <c r="E647" s="64">
        <v>0</v>
      </c>
      <c r="F647" s="71" t="s">
        <v>178</v>
      </c>
      <c r="G647" s="64"/>
      <c r="H647" s="21"/>
      <c r="I647" s="21"/>
      <c r="J647" s="21"/>
      <c r="K647" s="21"/>
      <c r="L647" s="21"/>
      <c r="M647" s="21"/>
      <c r="N647" s="21"/>
    </row>
    <row r="648" spans="1:14" x14ac:dyDescent="0.25">
      <c r="A648" s="151"/>
      <c r="B648" s="64"/>
      <c r="C648" s="64"/>
      <c r="D648" s="64"/>
      <c r="E648" s="64"/>
      <c r="F648" s="71" t="s">
        <v>335</v>
      </c>
      <c r="G648" s="64"/>
      <c r="H648" s="21"/>
      <c r="I648" s="21"/>
      <c r="J648" s="21"/>
      <c r="K648" s="21"/>
      <c r="L648" s="21"/>
      <c r="M648" s="21"/>
      <c r="N648" s="21"/>
    </row>
    <row r="649" spans="1:14" x14ac:dyDescent="0.25">
      <c r="A649" s="151"/>
      <c r="B649" s="64">
        <v>2921</v>
      </c>
      <c r="C649" s="64" t="s">
        <v>14</v>
      </c>
      <c r="D649" s="64">
        <v>2</v>
      </c>
      <c r="E649" s="64">
        <v>1</v>
      </c>
      <c r="F649" s="71" t="s">
        <v>156</v>
      </c>
      <c r="G649" s="64"/>
      <c r="H649" s="21"/>
      <c r="I649" s="21"/>
      <c r="J649" s="21"/>
      <c r="K649" s="21"/>
      <c r="L649" s="21"/>
      <c r="M649" s="21"/>
      <c r="N649" s="21"/>
    </row>
    <row r="650" spans="1:14" x14ac:dyDescent="0.25">
      <c r="A650" s="151"/>
      <c r="B650" s="64"/>
      <c r="C650" s="64"/>
      <c r="D650" s="64"/>
      <c r="E650" s="64"/>
      <c r="F650" s="71" t="s">
        <v>336</v>
      </c>
      <c r="G650" s="64"/>
      <c r="H650" s="21"/>
      <c r="I650" s="21"/>
      <c r="J650" s="21"/>
      <c r="K650" s="21"/>
      <c r="L650" s="21"/>
      <c r="M650" s="21"/>
      <c r="N650" s="21"/>
    </row>
    <row r="651" spans="1:14" x14ac:dyDescent="0.25">
      <c r="A651" s="151"/>
      <c r="B651" s="64"/>
      <c r="C651" s="64"/>
      <c r="D651" s="64"/>
      <c r="E651" s="64"/>
      <c r="F651" s="71" t="s">
        <v>559</v>
      </c>
      <c r="G651" s="64"/>
      <c r="H651" s="21"/>
      <c r="I651" s="21"/>
      <c r="J651" s="21"/>
      <c r="K651" s="21"/>
      <c r="L651" s="21"/>
      <c r="M651" s="21"/>
      <c r="N651" s="21"/>
    </row>
    <row r="652" spans="1:14" x14ac:dyDescent="0.25">
      <c r="A652" s="151"/>
      <c r="B652" s="64"/>
      <c r="C652" s="64"/>
      <c r="D652" s="64"/>
      <c r="E652" s="64"/>
      <c r="F652" s="71"/>
      <c r="G652" s="64"/>
      <c r="H652" s="21"/>
      <c r="I652" s="21"/>
      <c r="J652" s="21"/>
      <c r="K652" s="21"/>
      <c r="L652" s="21"/>
      <c r="M652" s="21"/>
      <c r="N652" s="21"/>
    </row>
    <row r="653" spans="1:14" ht="52.5" customHeight="1" x14ac:dyDescent="0.25">
      <c r="A653" s="151"/>
      <c r="B653" s="64">
        <v>2922</v>
      </c>
      <c r="C653" s="64" t="s">
        <v>14</v>
      </c>
      <c r="D653" s="64">
        <v>2</v>
      </c>
      <c r="E653" s="64">
        <v>2</v>
      </c>
      <c r="F653" s="71" t="s">
        <v>178</v>
      </c>
      <c r="G653" s="64"/>
      <c r="H653" s="21"/>
      <c r="I653" s="21"/>
      <c r="J653" s="21"/>
      <c r="K653" s="21"/>
      <c r="L653" s="21"/>
      <c r="M653" s="21"/>
      <c r="N653" s="21"/>
    </row>
    <row r="654" spans="1:14" x14ac:dyDescent="0.25">
      <c r="A654" s="151"/>
      <c r="B654" s="64"/>
      <c r="C654" s="64"/>
      <c r="D654" s="64"/>
      <c r="E654" s="64"/>
      <c r="F654" s="71" t="s">
        <v>337</v>
      </c>
      <c r="G654" s="64"/>
      <c r="H654" s="21"/>
      <c r="I654" s="21"/>
      <c r="J654" s="21"/>
      <c r="K654" s="21"/>
      <c r="L654" s="21"/>
      <c r="M654" s="21"/>
      <c r="N654" s="21"/>
    </row>
    <row r="655" spans="1:14" ht="40.5" x14ac:dyDescent="0.25">
      <c r="A655" s="151"/>
      <c r="B655" s="64"/>
      <c r="C655" s="64"/>
      <c r="D655" s="64"/>
      <c r="E655" s="64"/>
      <c r="F655" s="71" t="s">
        <v>177</v>
      </c>
      <c r="G655" s="64"/>
      <c r="H655" s="21"/>
      <c r="I655" s="21"/>
      <c r="J655" s="21"/>
      <c r="K655" s="21"/>
      <c r="L655" s="21"/>
      <c r="M655" s="21"/>
      <c r="N655" s="21"/>
    </row>
    <row r="656" spans="1:14" x14ac:dyDescent="0.25">
      <c r="A656" s="151"/>
      <c r="B656" s="64"/>
      <c r="C656" s="64"/>
      <c r="D656" s="64"/>
      <c r="E656" s="64"/>
      <c r="F656" s="71"/>
      <c r="G656" s="64"/>
      <c r="H656" s="21"/>
      <c r="I656" s="21"/>
      <c r="J656" s="21"/>
      <c r="K656" s="21"/>
      <c r="L656" s="21"/>
      <c r="M656" s="21"/>
      <c r="N656" s="21"/>
    </row>
    <row r="657" spans="1:14" ht="57" customHeight="1" x14ac:dyDescent="0.25">
      <c r="A657" s="151"/>
      <c r="B657" s="64"/>
      <c r="C657" s="64"/>
      <c r="D657" s="64"/>
      <c r="E657" s="64"/>
      <c r="F657" s="71" t="s">
        <v>178</v>
      </c>
      <c r="G657" s="64"/>
      <c r="H657" s="21"/>
      <c r="I657" s="21"/>
      <c r="J657" s="21"/>
      <c r="K657" s="21"/>
      <c r="L657" s="21"/>
      <c r="M657" s="21"/>
      <c r="N657" s="21"/>
    </row>
    <row r="658" spans="1:14" x14ac:dyDescent="0.25">
      <c r="A658" s="151"/>
      <c r="B658" s="64">
        <v>2930</v>
      </c>
      <c r="C658" s="64" t="s">
        <v>14</v>
      </c>
      <c r="D658" s="64">
        <v>3</v>
      </c>
      <c r="E658" s="64">
        <v>0</v>
      </c>
      <c r="F658" s="71" t="s">
        <v>178</v>
      </c>
      <c r="G658" s="64"/>
      <c r="H658" s="21"/>
      <c r="I658" s="21"/>
      <c r="J658" s="21"/>
      <c r="K658" s="21"/>
      <c r="L658" s="21"/>
      <c r="M658" s="21"/>
      <c r="N658" s="21"/>
    </row>
    <row r="659" spans="1:14" ht="35.25" customHeight="1" x14ac:dyDescent="0.25">
      <c r="A659" s="151"/>
      <c r="B659" s="64"/>
      <c r="C659" s="64"/>
      <c r="D659" s="64"/>
      <c r="E659" s="64"/>
      <c r="F659" s="71" t="s">
        <v>338</v>
      </c>
      <c r="G659" s="64"/>
      <c r="H659" s="21"/>
      <c r="I659" s="21"/>
      <c r="J659" s="21"/>
      <c r="K659" s="21"/>
      <c r="L659" s="21"/>
      <c r="M659" s="21"/>
      <c r="N659" s="21"/>
    </row>
    <row r="660" spans="1:14" ht="55.5" customHeight="1" x14ac:dyDescent="0.25">
      <c r="A660" s="151"/>
      <c r="B660" s="64">
        <v>2931</v>
      </c>
      <c r="C660" s="64" t="s">
        <v>14</v>
      </c>
      <c r="D660" s="64">
        <v>3</v>
      </c>
      <c r="E660" s="64">
        <v>1</v>
      </c>
      <c r="F660" s="71" t="s">
        <v>156</v>
      </c>
      <c r="G660" s="64"/>
      <c r="H660" s="21"/>
      <c r="I660" s="21"/>
      <c r="J660" s="21"/>
      <c r="K660" s="21"/>
      <c r="L660" s="21"/>
      <c r="M660" s="21"/>
      <c r="N660" s="21"/>
    </row>
    <row r="661" spans="1:14" ht="27" x14ac:dyDescent="0.25">
      <c r="A661" s="151"/>
      <c r="B661" s="64"/>
      <c r="C661" s="64"/>
      <c r="D661" s="64"/>
      <c r="E661" s="64"/>
      <c r="F661" s="71" t="s">
        <v>579</v>
      </c>
      <c r="G661" s="64"/>
      <c r="H661" s="21"/>
      <c r="I661" s="21"/>
      <c r="J661" s="21"/>
      <c r="K661" s="21"/>
      <c r="L661" s="21"/>
      <c r="M661" s="21"/>
      <c r="N661" s="21"/>
    </row>
    <row r="662" spans="1:14" ht="40.5" x14ac:dyDescent="0.25">
      <c r="A662" s="151"/>
      <c r="B662" s="64"/>
      <c r="C662" s="64"/>
      <c r="D662" s="64"/>
      <c r="E662" s="64"/>
      <c r="F662" s="71" t="s">
        <v>177</v>
      </c>
      <c r="G662" s="64"/>
      <c r="H662" s="21"/>
      <c r="I662" s="21"/>
      <c r="J662" s="21"/>
      <c r="K662" s="21"/>
      <c r="L662" s="21"/>
      <c r="M662" s="21"/>
      <c r="N662" s="21"/>
    </row>
    <row r="663" spans="1:14" x14ac:dyDescent="0.25">
      <c r="A663" s="151"/>
      <c r="B663" s="64"/>
      <c r="C663" s="64"/>
      <c r="D663" s="64"/>
      <c r="E663" s="64"/>
      <c r="F663" s="71" t="s">
        <v>178</v>
      </c>
      <c r="G663" s="64"/>
      <c r="H663" s="21"/>
      <c r="I663" s="21"/>
      <c r="J663" s="21"/>
      <c r="K663" s="21"/>
      <c r="L663" s="21"/>
      <c r="M663" s="21"/>
      <c r="N663" s="21"/>
    </row>
    <row r="664" spans="1:14" ht="57.75" customHeight="1" x14ac:dyDescent="0.25">
      <c r="A664" s="151"/>
      <c r="B664" s="64">
        <v>2932</v>
      </c>
      <c r="C664" s="64" t="s">
        <v>14</v>
      </c>
      <c r="D664" s="64">
        <v>3</v>
      </c>
      <c r="E664" s="64">
        <v>2</v>
      </c>
      <c r="F664" s="71" t="s">
        <v>178</v>
      </c>
      <c r="G664" s="64"/>
      <c r="H664" s="21"/>
      <c r="I664" s="21"/>
      <c r="J664" s="21"/>
      <c r="K664" s="21"/>
      <c r="L664" s="21"/>
      <c r="M664" s="21"/>
      <c r="N664" s="21"/>
    </row>
    <row r="665" spans="1:14" x14ac:dyDescent="0.25">
      <c r="A665" s="151"/>
      <c r="B665" s="64"/>
      <c r="C665" s="64"/>
      <c r="D665" s="64"/>
      <c r="E665" s="64"/>
      <c r="F665" s="71" t="s">
        <v>340</v>
      </c>
      <c r="G665" s="64"/>
      <c r="H665" s="21"/>
      <c r="I665" s="21"/>
      <c r="J665" s="21"/>
      <c r="K665" s="21"/>
      <c r="L665" s="21"/>
      <c r="M665" s="21"/>
      <c r="N665" s="21"/>
    </row>
    <row r="666" spans="1:14" ht="40.5" x14ac:dyDescent="0.25">
      <c r="A666" s="151"/>
      <c r="B666" s="64"/>
      <c r="C666" s="64"/>
      <c r="D666" s="64"/>
      <c r="E666" s="64"/>
      <c r="F666" s="71" t="s">
        <v>177</v>
      </c>
      <c r="G666" s="64"/>
      <c r="H666" s="21"/>
      <c r="I666" s="21"/>
      <c r="J666" s="21"/>
      <c r="K666" s="21"/>
      <c r="L666" s="21"/>
      <c r="M666" s="21"/>
      <c r="N666" s="21"/>
    </row>
    <row r="667" spans="1:14" x14ac:dyDescent="0.25">
      <c r="A667" s="151"/>
      <c r="B667" s="64"/>
      <c r="C667" s="64"/>
      <c r="D667" s="64"/>
      <c r="E667" s="64"/>
      <c r="F667" s="71" t="s">
        <v>178</v>
      </c>
      <c r="G667" s="64"/>
      <c r="H667" s="21"/>
      <c r="I667" s="21"/>
      <c r="J667" s="21"/>
      <c r="K667" s="21"/>
      <c r="L667" s="21"/>
      <c r="M667" s="21"/>
      <c r="N667" s="21"/>
    </row>
    <row r="668" spans="1:14" x14ac:dyDescent="0.25">
      <c r="A668" s="151"/>
      <c r="B668" s="64">
        <v>2940</v>
      </c>
      <c r="C668" s="64" t="s">
        <v>14</v>
      </c>
      <c r="D668" s="64">
        <v>4</v>
      </c>
      <c r="E668" s="64">
        <v>0</v>
      </c>
      <c r="F668" s="71" t="s">
        <v>178</v>
      </c>
      <c r="G668" s="64"/>
      <c r="H668" s="21"/>
      <c r="I668" s="21"/>
      <c r="J668" s="21"/>
      <c r="K668" s="21"/>
      <c r="L668" s="21"/>
      <c r="M668" s="21"/>
      <c r="N668" s="21"/>
    </row>
    <row r="669" spans="1:14" x14ac:dyDescent="0.25">
      <c r="A669" s="151"/>
      <c r="B669" s="64"/>
      <c r="C669" s="64"/>
      <c r="D669" s="64"/>
      <c r="E669" s="64"/>
      <c r="F669" s="71" t="s">
        <v>341</v>
      </c>
      <c r="G669" s="64"/>
      <c r="H669" s="21"/>
      <c r="I669" s="21"/>
      <c r="J669" s="21"/>
      <c r="K669" s="21"/>
      <c r="L669" s="21"/>
      <c r="M669" s="21"/>
      <c r="N669" s="21"/>
    </row>
    <row r="670" spans="1:14" ht="54" customHeight="1" x14ac:dyDescent="0.25">
      <c r="A670" s="151"/>
      <c r="B670" s="64">
        <v>2941</v>
      </c>
      <c r="C670" s="64" t="s">
        <v>14</v>
      </c>
      <c r="D670" s="64">
        <v>4</v>
      </c>
      <c r="E670" s="64">
        <v>1</v>
      </c>
      <c r="F670" s="71" t="s">
        <v>156</v>
      </c>
      <c r="G670" s="64"/>
      <c r="H670" s="21"/>
      <c r="I670" s="21"/>
      <c r="J670" s="21"/>
      <c r="K670" s="21"/>
      <c r="L670" s="21"/>
      <c r="M670" s="21"/>
      <c r="N670" s="21"/>
    </row>
    <row r="671" spans="1:14" x14ac:dyDescent="0.25">
      <c r="A671" s="151"/>
      <c r="B671" s="64"/>
      <c r="C671" s="64"/>
      <c r="D671" s="64"/>
      <c r="E671" s="64"/>
      <c r="F671" s="71" t="s">
        <v>342</v>
      </c>
      <c r="G671" s="64"/>
      <c r="H671" s="21"/>
      <c r="I671" s="21"/>
      <c r="J671" s="21"/>
      <c r="K671" s="21"/>
      <c r="L671" s="21"/>
      <c r="M671" s="21"/>
      <c r="N671" s="21"/>
    </row>
    <row r="672" spans="1:14" ht="40.5" x14ac:dyDescent="0.25">
      <c r="A672" s="151"/>
      <c r="B672" s="64"/>
      <c r="C672" s="64"/>
      <c r="D672" s="64"/>
      <c r="E672" s="64"/>
      <c r="F672" s="71" t="s">
        <v>177</v>
      </c>
      <c r="G672" s="64"/>
      <c r="H672" s="21"/>
      <c r="I672" s="21"/>
      <c r="J672" s="21"/>
      <c r="K672" s="21"/>
      <c r="L672" s="21"/>
      <c r="M672" s="21"/>
      <c r="N672" s="21"/>
    </row>
    <row r="673" spans="1:14" ht="56.25" customHeight="1" x14ac:dyDescent="0.25">
      <c r="A673" s="151"/>
      <c r="B673" s="64"/>
      <c r="C673" s="64"/>
      <c r="D673" s="64"/>
      <c r="E673" s="64"/>
      <c r="F673" s="71" t="s">
        <v>178</v>
      </c>
      <c r="G673" s="64"/>
      <c r="H673" s="21"/>
      <c r="I673" s="21"/>
      <c r="J673" s="21"/>
      <c r="K673" s="21"/>
      <c r="L673" s="21"/>
      <c r="M673" s="21"/>
      <c r="N673" s="21"/>
    </row>
    <row r="674" spans="1:14" x14ac:dyDescent="0.25">
      <c r="A674" s="151"/>
      <c r="B674" s="64">
        <v>2942</v>
      </c>
      <c r="C674" s="64" t="s">
        <v>14</v>
      </c>
      <c r="D674" s="64">
        <v>4</v>
      </c>
      <c r="E674" s="64">
        <v>2</v>
      </c>
      <c r="F674" s="71" t="s">
        <v>343</v>
      </c>
      <c r="G674" s="64"/>
      <c r="H674" s="21"/>
      <c r="I674" s="21"/>
      <c r="J674" s="21"/>
      <c r="K674" s="21"/>
      <c r="L674" s="21"/>
      <c r="M674" s="21"/>
      <c r="N674" s="21"/>
    </row>
    <row r="675" spans="1:14" ht="41.25" customHeight="1" x14ac:dyDescent="0.25">
      <c r="A675" s="151"/>
      <c r="B675" s="64"/>
      <c r="C675" s="64"/>
      <c r="D675" s="64"/>
      <c r="E675" s="64"/>
      <c r="F675" s="71" t="s">
        <v>177</v>
      </c>
      <c r="G675" s="64"/>
      <c r="H675" s="21"/>
      <c r="I675" s="21"/>
      <c r="J675" s="21"/>
      <c r="K675" s="21"/>
      <c r="L675" s="21"/>
      <c r="M675" s="21"/>
      <c r="N675" s="21"/>
    </row>
    <row r="676" spans="1:14" x14ac:dyDescent="0.25">
      <c r="A676" s="151"/>
      <c r="B676" s="64"/>
      <c r="C676" s="64"/>
      <c r="D676" s="64"/>
      <c r="E676" s="64"/>
      <c r="F676" s="71" t="s">
        <v>178</v>
      </c>
      <c r="G676" s="64"/>
      <c r="H676" s="21"/>
      <c r="I676" s="21"/>
      <c r="J676" s="21"/>
      <c r="K676" s="21"/>
      <c r="L676" s="21"/>
      <c r="M676" s="21"/>
      <c r="N676" s="21"/>
    </row>
    <row r="677" spans="1:14" ht="27" x14ac:dyDescent="0.25">
      <c r="A677" s="151"/>
      <c r="B677" s="64">
        <v>2950</v>
      </c>
      <c r="C677" s="64" t="s">
        <v>14</v>
      </c>
      <c r="D677" s="64">
        <v>5</v>
      </c>
      <c r="E677" s="64">
        <v>0</v>
      </c>
      <c r="F677" s="71" t="s">
        <v>348</v>
      </c>
      <c r="G677" s="64"/>
      <c r="H677" s="21"/>
      <c r="I677" s="21"/>
      <c r="J677" s="21"/>
      <c r="K677" s="21"/>
      <c r="L677" s="21"/>
      <c r="M677" s="21"/>
      <c r="N677" s="21"/>
    </row>
    <row r="678" spans="1:14" ht="62.25" customHeight="1" x14ac:dyDescent="0.25">
      <c r="A678" s="151"/>
      <c r="B678" s="64"/>
      <c r="C678" s="64"/>
      <c r="D678" s="64"/>
      <c r="E678" s="64"/>
      <c r="F678" s="71" t="s">
        <v>156</v>
      </c>
      <c r="G678" s="64"/>
      <c r="H678" s="21"/>
      <c r="I678" s="21"/>
      <c r="J678" s="21"/>
      <c r="K678" s="21"/>
      <c r="L678" s="21"/>
      <c r="M678" s="21"/>
      <c r="N678" s="21"/>
    </row>
    <row r="679" spans="1:14" x14ac:dyDescent="0.25">
      <c r="A679" s="151"/>
      <c r="B679" s="64">
        <v>2951</v>
      </c>
      <c r="C679" s="64" t="s">
        <v>14</v>
      </c>
      <c r="D679" s="64">
        <v>5</v>
      </c>
      <c r="E679" s="64">
        <v>1</v>
      </c>
      <c r="F679" s="71" t="s">
        <v>345</v>
      </c>
      <c r="G679" s="64"/>
      <c r="H679" s="21"/>
      <c r="I679" s="21"/>
      <c r="J679" s="21"/>
      <c r="K679" s="21"/>
      <c r="L679" s="21"/>
      <c r="M679" s="21"/>
      <c r="N679" s="21"/>
    </row>
    <row r="680" spans="1:14" ht="40.5" x14ac:dyDescent="0.25">
      <c r="A680" s="151"/>
      <c r="B680" s="64"/>
      <c r="C680" s="64"/>
      <c r="D680" s="64"/>
      <c r="E680" s="64"/>
      <c r="F680" s="71" t="s">
        <v>177</v>
      </c>
      <c r="G680" s="64"/>
      <c r="H680" s="21"/>
      <c r="I680" s="21"/>
      <c r="J680" s="21"/>
      <c r="K680" s="21"/>
      <c r="L680" s="21"/>
      <c r="M680" s="21"/>
      <c r="N680" s="21"/>
    </row>
    <row r="681" spans="1:14" x14ac:dyDescent="0.25">
      <c r="A681" s="151"/>
      <c r="B681" s="64"/>
      <c r="C681" s="64"/>
      <c r="D681" s="64"/>
      <c r="E681" s="64"/>
      <c r="F681" s="71"/>
      <c r="G681" s="64"/>
      <c r="H681" s="21"/>
      <c r="I681" s="21"/>
      <c r="J681" s="21"/>
      <c r="K681" s="21"/>
      <c r="L681" s="21"/>
      <c r="M681" s="21"/>
      <c r="N681" s="21"/>
    </row>
    <row r="682" spans="1:14" x14ac:dyDescent="0.25">
      <c r="A682" s="151"/>
      <c r="B682" s="64"/>
      <c r="C682" s="64"/>
      <c r="D682" s="64"/>
      <c r="E682" s="64"/>
      <c r="F682" s="71" t="s">
        <v>178</v>
      </c>
      <c r="G682" s="64"/>
      <c r="H682" s="21"/>
      <c r="I682" s="21"/>
      <c r="J682" s="21"/>
      <c r="K682" s="21"/>
      <c r="L682" s="21"/>
      <c r="M682" s="21"/>
      <c r="N682" s="21"/>
    </row>
    <row r="683" spans="1:14" ht="59.25" customHeight="1" x14ac:dyDescent="0.25">
      <c r="A683" s="151"/>
      <c r="B683" s="64">
        <v>2952</v>
      </c>
      <c r="C683" s="64" t="s">
        <v>14</v>
      </c>
      <c r="D683" s="64">
        <v>5</v>
      </c>
      <c r="E683" s="64">
        <v>2</v>
      </c>
      <c r="F683" s="71" t="s">
        <v>178</v>
      </c>
      <c r="G683" s="64"/>
      <c r="H683" s="21"/>
      <c r="I683" s="21"/>
      <c r="J683" s="21"/>
      <c r="K683" s="21"/>
      <c r="L683" s="21"/>
      <c r="M683" s="21"/>
      <c r="N683" s="21"/>
    </row>
    <row r="684" spans="1:14" x14ac:dyDescent="0.25">
      <c r="A684" s="151"/>
      <c r="B684" s="64"/>
      <c r="C684" s="64"/>
      <c r="D684" s="64"/>
      <c r="E684" s="64"/>
      <c r="F684" s="71" t="s">
        <v>346</v>
      </c>
      <c r="G684" s="64"/>
      <c r="H684" s="21"/>
      <c r="I684" s="21"/>
      <c r="J684" s="21"/>
      <c r="K684" s="21"/>
      <c r="L684" s="21"/>
      <c r="M684" s="21"/>
      <c r="N684" s="21"/>
    </row>
    <row r="685" spans="1:14" ht="38.25" customHeight="1" x14ac:dyDescent="0.25">
      <c r="A685" s="151"/>
      <c r="B685" s="64"/>
      <c r="C685" s="64"/>
      <c r="D685" s="64"/>
      <c r="E685" s="64"/>
      <c r="F685" s="71" t="s">
        <v>177</v>
      </c>
      <c r="G685" s="64"/>
      <c r="H685" s="21"/>
      <c r="I685" s="21"/>
      <c r="J685" s="21"/>
      <c r="K685" s="21"/>
      <c r="L685" s="21"/>
      <c r="M685" s="21"/>
      <c r="N685" s="21"/>
    </row>
    <row r="686" spans="1:14" x14ac:dyDescent="0.25">
      <c r="A686" s="151"/>
      <c r="B686" s="64"/>
      <c r="C686" s="64"/>
      <c r="D686" s="64"/>
      <c r="E686" s="64"/>
      <c r="F686" s="71" t="s">
        <v>178</v>
      </c>
      <c r="G686" s="64"/>
      <c r="H686" s="21"/>
      <c r="I686" s="21"/>
      <c r="J686" s="21"/>
      <c r="K686" s="21"/>
      <c r="L686" s="21"/>
      <c r="M686" s="21"/>
      <c r="N686" s="21"/>
    </row>
    <row r="687" spans="1:14" ht="27" x14ac:dyDescent="0.25">
      <c r="A687" s="151"/>
      <c r="B687" s="64">
        <v>2960</v>
      </c>
      <c r="C687" s="64" t="s">
        <v>14</v>
      </c>
      <c r="D687" s="64">
        <v>6</v>
      </c>
      <c r="E687" s="64">
        <v>0</v>
      </c>
      <c r="F687" s="71" t="s">
        <v>347</v>
      </c>
      <c r="G687" s="64"/>
      <c r="H687" s="21">
        <f>+H689</f>
        <v>158022.755</v>
      </c>
      <c r="I687" s="21">
        <f t="shared" ref="I687:N687" si="108">+I689</f>
        <v>148022.755</v>
      </c>
      <c r="J687" s="21">
        <f t="shared" si="108"/>
        <v>10000</v>
      </c>
      <c r="K687" s="21">
        <f t="shared" si="108"/>
        <v>31167.427380951947</v>
      </c>
      <c r="L687" s="21">
        <f t="shared" si="108"/>
        <v>65193.833551586562</v>
      </c>
      <c r="M687" s="21">
        <f t="shared" si="108"/>
        <v>114708.1162103175</v>
      </c>
      <c r="N687" s="21">
        <f t="shared" si="108"/>
        <v>158022.755</v>
      </c>
    </row>
    <row r="688" spans="1:14" ht="38.25" customHeight="1" x14ac:dyDescent="0.25">
      <c r="A688" s="151"/>
      <c r="B688" s="64"/>
      <c r="C688" s="64"/>
      <c r="D688" s="64"/>
      <c r="E688" s="64"/>
      <c r="F688" s="71" t="s">
        <v>156</v>
      </c>
      <c r="G688" s="64"/>
      <c r="H688" s="21"/>
      <c r="I688" s="21"/>
      <c r="J688" s="21"/>
      <c r="K688" s="21"/>
      <c r="L688" s="21"/>
      <c r="M688" s="21"/>
      <c r="N688" s="21"/>
    </row>
    <row r="689" spans="1:16" ht="56.25" customHeight="1" x14ac:dyDescent="0.25">
      <c r="A689" s="151"/>
      <c r="B689" s="64">
        <v>2961</v>
      </c>
      <c r="C689" s="64" t="s">
        <v>14</v>
      </c>
      <c r="D689" s="64">
        <v>6</v>
      </c>
      <c r="E689" s="64">
        <v>1</v>
      </c>
      <c r="F689" s="5" t="s">
        <v>347</v>
      </c>
      <c r="G689" s="64"/>
      <c r="H689" s="21">
        <f>+H690+H691+H692+H693</f>
        <v>158022.755</v>
      </c>
      <c r="I689" s="21">
        <f t="shared" ref="I689:N689" si="109">+I690+I691+I692+I693</f>
        <v>148022.755</v>
      </c>
      <c r="J689" s="21">
        <f t="shared" si="109"/>
        <v>10000</v>
      </c>
      <c r="K689" s="21">
        <f t="shared" si="109"/>
        <v>31167.427380951947</v>
      </c>
      <c r="L689" s="21">
        <f t="shared" si="109"/>
        <v>65193.833551586562</v>
      </c>
      <c r="M689" s="21">
        <f t="shared" si="109"/>
        <v>114708.1162103175</v>
      </c>
      <c r="N689" s="21">
        <f t="shared" si="109"/>
        <v>158022.755</v>
      </c>
    </row>
    <row r="690" spans="1:16" ht="27" x14ac:dyDescent="0.25">
      <c r="A690" s="151"/>
      <c r="B690" s="64"/>
      <c r="C690" s="64"/>
      <c r="D690" s="64"/>
      <c r="E690" s="64"/>
      <c r="F690" s="71" t="s">
        <v>597</v>
      </c>
      <c r="G690" s="64">
        <v>4819</v>
      </c>
      <c r="H690" s="21">
        <f>+I690+J690</f>
        <v>70399.054999999993</v>
      </c>
      <c r="I690" s="21">
        <v>70399.054999999993</v>
      </c>
      <c r="J690" s="21"/>
      <c r="K690" s="21">
        <v>15642.727380951947</v>
      </c>
      <c r="L690" s="21">
        <v>30263.133551586565</v>
      </c>
      <c r="M690" s="21">
        <v>50371.616210317501</v>
      </c>
      <c r="N690" s="21">
        <f t="shared" ref="N690" si="110">+H690</f>
        <v>70399.054999999993</v>
      </c>
    </row>
    <row r="691" spans="1:16" x14ac:dyDescent="0.25">
      <c r="A691" s="151"/>
      <c r="B691" s="64"/>
      <c r="C691" s="64"/>
      <c r="D691" s="64"/>
      <c r="E691" s="64"/>
      <c r="F691" s="71" t="s">
        <v>578</v>
      </c>
      <c r="G691" s="64">
        <v>4729</v>
      </c>
      <c r="H691" s="21">
        <f>+I691+J691</f>
        <v>77623.7</v>
      </c>
      <c r="I691" s="21">
        <v>77623.7</v>
      </c>
      <c r="J691" s="21"/>
      <c r="K691" s="145">
        <v>15524.7</v>
      </c>
      <c r="L691" s="145">
        <v>34930.699999999997</v>
      </c>
      <c r="M691" s="145">
        <v>54336.5</v>
      </c>
      <c r="N691" s="145">
        <f t="shared" ref="N691:N693" si="111">+H691</f>
        <v>77623.7</v>
      </c>
    </row>
    <row r="692" spans="1:16" ht="27" x14ac:dyDescent="0.25">
      <c r="A692" s="151"/>
      <c r="B692" s="64"/>
      <c r="C692" s="64"/>
      <c r="D692" s="64"/>
      <c r="E692" s="64"/>
      <c r="F692" s="71" t="s">
        <v>861</v>
      </c>
      <c r="G692" s="64" t="s">
        <v>42</v>
      </c>
      <c r="H692" s="21">
        <f>SUM(I692:J692)</f>
        <v>0</v>
      </c>
      <c r="I692" s="21"/>
      <c r="J692" s="21"/>
      <c r="K692" s="21"/>
      <c r="L692" s="21"/>
      <c r="M692" s="21"/>
      <c r="N692" s="145">
        <f t="shared" si="111"/>
        <v>0</v>
      </c>
      <c r="P692" s="151"/>
    </row>
    <row r="693" spans="1:16" ht="27" x14ac:dyDescent="0.25">
      <c r="A693" s="151"/>
      <c r="B693" s="64"/>
      <c r="C693" s="64"/>
      <c r="D693" s="64"/>
      <c r="E693" s="64"/>
      <c r="F693" s="71" t="s">
        <v>173</v>
      </c>
      <c r="G693" s="64" t="s">
        <v>92</v>
      </c>
      <c r="H693" s="21">
        <f>SUM(I693:J693)</f>
        <v>10000</v>
      </c>
      <c r="I693" s="21"/>
      <c r="J693" s="21">
        <v>10000</v>
      </c>
      <c r="K693" s="21"/>
      <c r="L693" s="21"/>
      <c r="M693" s="21">
        <v>10000</v>
      </c>
      <c r="N693" s="145">
        <f t="shared" si="111"/>
        <v>10000</v>
      </c>
      <c r="P693" s="151"/>
    </row>
    <row r="694" spans="1:16" ht="27" x14ac:dyDescent="0.25">
      <c r="A694" s="151"/>
      <c r="B694" s="64">
        <v>2970</v>
      </c>
      <c r="C694" s="64" t="s">
        <v>14</v>
      </c>
      <c r="D694" s="64">
        <v>7</v>
      </c>
      <c r="E694" s="64">
        <v>0</v>
      </c>
      <c r="F694" s="71" t="s">
        <v>348</v>
      </c>
      <c r="G694" s="64"/>
      <c r="H694" s="21"/>
      <c r="I694" s="21"/>
      <c r="J694" s="21"/>
      <c r="K694" s="21"/>
      <c r="L694" s="21"/>
      <c r="M694" s="21"/>
      <c r="N694" s="21"/>
    </row>
    <row r="695" spans="1:16" ht="36.75" customHeight="1" x14ac:dyDescent="0.25">
      <c r="A695" s="151"/>
      <c r="B695" s="64"/>
      <c r="C695" s="64"/>
      <c r="D695" s="64"/>
      <c r="E695" s="64"/>
      <c r="F695" s="71" t="s">
        <v>156</v>
      </c>
      <c r="G695" s="64"/>
      <c r="H695" s="21"/>
      <c r="I695" s="21"/>
      <c r="J695" s="21"/>
      <c r="K695" s="21"/>
      <c r="L695" s="21"/>
      <c r="M695" s="21"/>
      <c r="N695" s="21"/>
    </row>
    <row r="696" spans="1:16" ht="54" customHeight="1" x14ac:dyDescent="0.25">
      <c r="A696" s="151"/>
      <c r="B696" s="64"/>
      <c r="C696" s="64"/>
      <c r="D696" s="64"/>
      <c r="E696" s="64"/>
      <c r="G696" s="64"/>
      <c r="H696" s="21"/>
      <c r="I696" s="21"/>
      <c r="J696" s="21"/>
      <c r="K696" s="21"/>
      <c r="L696" s="21"/>
      <c r="M696" s="21"/>
      <c r="N696" s="21"/>
    </row>
    <row r="697" spans="1:16" ht="27" x14ac:dyDescent="0.25">
      <c r="A697" s="151"/>
      <c r="B697" s="64">
        <v>2971</v>
      </c>
      <c r="C697" s="64" t="s">
        <v>14</v>
      </c>
      <c r="D697" s="64">
        <v>7</v>
      </c>
      <c r="E697" s="64">
        <v>1</v>
      </c>
      <c r="F697" s="71" t="s">
        <v>348</v>
      </c>
      <c r="G697" s="64"/>
      <c r="H697" s="21"/>
      <c r="I697" s="21"/>
      <c r="J697" s="21"/>
      <c r="K697" s="21"/>
      <c r="L697" s="21"/>
      <c r="M697" s="21"/>
      <c r="N697" s="21"/>
    </row>
    <row r="698" spans="1:16" ht="40.5" x14ac:dyDescent="0.25">
      <c r="A698" s="151"/>
      <c r="B698" s="64"/>
      <c r="C698" s="64"/>
      <c r="D698" s="64"/>
      <c r="E698" s="64"/>
      <c r="F698" s="71" t="s">
        <v>177</v>
      </c>
      <c r="G698" s="64"/>
      <c r="H698" s="21"/>
      <c r="I698" s="21"/>
      <c r="J698" s="21"/>
      <c r="K698" s="21"/>
      <c r="L698" s="21"/>
      <c r="M698" s="21"/>
      <c r="N698" s="21"/>
    </row>
    <row r="699" spans="1:16" x14ac:dyDescent="0.25">
      <c r="A699" s="151"/>
      <c r="B699" s="64"/>
      <c r="C699" s="64"/>
      <c r="D699" s="64"/>
      <c r="E699" s="64"/>
      <c r="F699" s="71" t="s">
        <v>178</v>
      </c>
      <c r="G699" s="64"/>
      <c r="H699" s="21"/>
      <c r="I699" s="21"/>
      <c r="J699" s="21"/>
      <c r="K699" s="21"/>
      <c r="L699" s="21"/>
      <c r="M699" s="21"/>
      <c r="N699" s="21"/>
    </row>
    <row r="700" spans="1:16" x14ac:dyDescent="0.25">
      <c r="A700" s="151"/>
      <c r="B700" s="64">
        <v>2980</v>
      </c>
      <c r="C700" s="64" t="s">
        <v>14</v>
      </c>
      <c r="D700" s="64">
        <v>8</v>
      </c>
      <c r="E700" s="64">
        <v>0</v>
      </c>
      <c r="F700" s="71" t="s">
        <v>349</v>
      </c>
      <c r="G700" s="64"/>
      <c r="H700" s="21"/>
      <c r="I700" s="21"/>
      <c r="J700" s="21"/>
      <c r="K700" s="21"/>
      <c r="L700" s="21"/>
      <c r="M700" s="21"/>
      <c r="N700" s="21"/>
    </row>
    <row r="701" spans="1:16" ht="57.75" customHeight="1" x14ac:dyDescent="0.25">
      <c r="A701" s="151"/>
      <c r="B701" s="64"/>
      <c r="C701" s="64"/>
      <c r="D701" s="64"/>
      <c r="E701" s="64"/>
      <c r="F701" s="71" t="s">
        <v>156</v>
      </c>
      <c r="G701" s="64"/>
      <c r="H701" s="21"/>
      <c r="I701" s="21"/>
      <c r="J701" s="21"/>
      <c r="K701" s="21"/>
      <c r="L701" s="21"/>
      <c r="M701" s="21"/>
      <c r="N701" s="21"/>
    </row>
    <row r="702" spans="1:16" x14ac:dyDescent="0.25">
      <c r="A702" s="151"/>
      <c r="B702" s="64">
        <v>2981</v>
      </c>
      <c r="C702" s="64" t="s">
        <v>14</v>
      </c>
      <c r="D702" s="64">
        <v>8</v>
      </c>
      <c r="E702" s="64">
        <v>1</v>
      </c>
      <c r="F702" s="71" t="s">
        <v>349</v>
      </c>
      <c r="G702" s="64"/>
      <c r="H702" s="21"/>
      <c r="I702" s="21"/>
      <c r="J702" s="21"/>
      <c r="K702" s="21"/>
      <c r="L702" s="21"/>
      <c r="M702" s="21"/>
      <c r="N702" s="21"/>
    </row>
    <row r="703" spans="1:16" ht="40.5" x14ac:dyDescent="0.25">
      <c r="A703" s="151"/>
      <c r="B703" s="64"/>
      <c r="C703" s="64"/>
      <c r="D703" s="64"/>
      <c r="E703" s="64"/>
      <c r="F703" s="71" t="s">
        <v>177</v>
      </c>
      <c r="G703" s="64"/>
      <c r="H703" s="21"/>
      <c r="I703" s="21"/>
      <c r="J703" s="21"/>
      <c r="K703" s="21"/>
      <c r="L703" s="21"/>
      <c r="M703" s="21"/>
      <c r="N703" s="21"/>
    </row>
    <row r="704" spans="1:16" x14ac:dyDescent="0.25">
      <c r="A704" s="151"/>
      <c r="B704" s="64"/>
      <c r="C704" s="64"/>
      <c r="D704" s="64"/>
      <c r="E704" s="64"/>
      <c r="F704" s="71" t="s">
        <v>178</v>
      </c>
      <c r="G704" s="64"/>
      <c r="H704" s="21"/>
      <c r="I704" s="21"/>
      <c r="J704" s="21"/>
      <c r="K704" s="21"/>
      <c r="L704" s="21"/>
      <c r="M704" s="21"/>
      <c r="N704" s="21"/>
    </row>
    <row r="705" spans="1:14" ht="40.5" x14ac:dyDescent="0.25">
      <c r="A705" s="151"/>
      <c r="B705" s="64">
        <v>3000</v>
      </c>
      <c r="C705" s="64" t="s">
        <v>15</v>
      </c>
      <c r="D705" s="64">
        <v>0</v>
      </c>
      <c r="E705" s="64">
        <v>0</v>
      </c>
      <c r="F705" s="71" t="s">
        <v>350</v>
      </c>
      <c r="G705" s="64"/>
      <c r="H705" s="21">
        <f t="shared" ref="H705:N705" si="112">H706+H715+H720+H724+H730+H735+H742+H755</f>
        <v>50306</v>
      </c>
      <c r="I705" s="21">
        <f t="shared" si="112"/>
        <v>50306</v>
      </c>
      <c r="J705" s="21">
        <f t="shared" si="112"/>
        <v>0</v>
      </c>
      <c r="K705" s="21">
        <f t="shared" si="112"/>
        <v>2321.7142857142858</v>
      </c>
      <c r="L705" s="21">
        <f t="shared" si="112"/>
        <v>8737.0555555555547</v>
      </c>
      <c r="M705" s="21">
        <f t="shared" si="112"/>
        <v>23626.722222222219</v>
      </c>
      <c r="N705" s="21">
        <f t="shared" si="112"/>
        <v>50306</v>
      </c>
    </row>
    <row r="706" spans="1:14" x14ac:dyDescent="0.25">
      <c r="A706" s="151"/>
      <c r="B706" s="64"/>
      <c r="C706" s="64"/>
      <c r="D706" s="64"/>
      <c r="E706" s="64"/>
      <c r="F706" s="71" t="s">
        <v>154</v>
      </c>
      <c r="G706" s="64"/>
      <c r="H706" s="21"/>
      <c r="I706" s="21"/>
      <c r="J706" s="21"/>
      <c r="K706" s="21"/>
      <c r="L706" s="21"/>
      <c r="M706" s="21"/>
      <c r="N706" s="21"/>
    </row>
    <row r="707" spans="1:14" x14ac:dyDescent="0.25">
      <c r="A707" s="151"/>
      <c r="B707" s="64">
        <v>3010</v>
      </c>
      <c r="C707" s="64" t="s">
        <v>15</v>
      </c>
      <c r="D707" s="64">
        <v>1</v>
      </c>
      <c r="E707" s="64">
        <v>0</v>
      </c>
      <c r="F707" s="71" t="s">
        <v>351</v>
      </c>
      <c r="G707" s="64"/>
      <c r="H707" s="21"/>
      <c r="I707" s="21"/>
      <c r="J707" s="21"/>
      <c r="K707" s="21"/>
      <c r="L707" s="21"/>
      <c r="M707" s="21"/>
      <c r="N707" s="21"/>
    </row>
    <row r="708" spans="1:14" ht="55.5" customHeight="1" x14ac:dyDescent="0.25">
      <c r="A708" s="151"/>
      <c r="B708" s="64"/>
      <c r="C708" s="64"/>
      <c r="D708" s="64"/>
      <c r="E708" s="64"/>
      <c r="F708" s="71" t="s">
        <v>156</v>
      </c>
      <c r="G708" s="64"/>
      <c r="H708" s="21"/>
      <c r="I708" s="21"/>
      <c r="J708" s="21"/>
      <c r="K708" s="21"/>
      <c r="L708" s="21"/>
      <c r="M708" s="21"/>
      <c r="N708" s="21"/>
    </row>
    <row r="709" spans="1:14" x14ac:dyDescent="0.25">
      <c r="A709" s="151"/>
      <c r="B709" s="64">
        <v>3011</v>
      </c>
      <c r="C709" s="64" t="s">
        <v>15</v>
      </c>
      <c r="D709" s="64">
        <v>1</v>
      </c>
      <c r="E709" s="64">
        <v>1</v>
      </c>
      <c r="F709" s="71" t="s">
        <v>352</v>
      </c>
      <c r="G709" s="64"/>
      <c r="H709" s="21"/>
      <c r="I709" s="21"/>
      <c r="J709" s="21"/>
      <c r="K709" s="21"/>
      <c r="L709" s="21"/>
      <c r="M709" s="21"/>
      <c r="N709" s="21"/>
    </row>
    <row r="710" spans="1:14" ht="40.5" x14ac:dyDescent="0.25">
      <c r="A710" s="151"/>
      <c r="B710" s="64"/>
      <c r="C710" s="64"/>
      <c r="D710" s="64"/>
      <c r="E710" s="64"/>
      <c r="F710" s="71" t="s">
        <v>177</v>
      </c>
      <c r="G710" s="64"/>
      <c r="H710" s="21"/>
      <c r="I710" s="21"/>
      <c r="J710" s="21"/>
      <c r="K710" s="21"/>
      <c r="L710" s="21"/>
      <c r="M710" s="21"/>
      <c r="N710" s="21"/>
    </row>
    <row r="711" spans="1:14" ht="51.75" customHeight="1" x14ac:dyDescent="0.25">
      <c r="A711" s="151"/>
      <c r="B711" s="64">
        <v>3012</v>
      </c>
      <c r="C711" s="64"/>
      <c r="D711" s="64"/>
      <c r="E711" s="64"/>
      <c r="F711" s="71" t="s">
        <v>178</v>
      </c>
      <c r="G711" s="64"/>
      <c r="H711" s="21"/>
      <c r="I711" s="21"/>
      <c r="J711" s="21"/>
      <c r="K711" s="21"/>
      <c r="L711" s="21"/>
      <c r="M711" s="21"/>
      <c r="N711" s="21"/>
    </row>
    <row r="712" spans="1:14" x14ac:dyDescent="0.25">
      <c r="A712" s="151"/>
      <c r="B712" s="64"/>
      <c r="C712" s="64" t="s">
        <v>15</v>
      </c>
      <c r="D712" s="64">
        <v>1</v>
      </c>
      <c r="E712" s="64">
        <v>2</v>
      </c>
      <c r="F712" s="71" t="s">
        <v>353</v>
      </c>
      <c r="G712" s="64"/>
      <c r="H712" s="21"/>
      <c r="I712" s="21"/>
      <c r="J712" s="21"/>
      <c r="K712" s="21"/>
      <c r="L712" s="21"/>
      <c r="M712" s="21"/>
      <c r="N712" s="21"/>
    </row>
    <row r="713" spans="1:14" ht="40.5" x14ac:dyDescent="0.25">
      <c r="A713" s="151"/>
      <c r="B713" s="64"/>
      <c r="C713" s="64"/>
      <c r="D713" s="64"/>
      <c r="E713" s="64"/>
      <c r="F713" s="71" t="s">
        <v>177</v>
      </c>
      <c r="G713" s="64"/>
      <c r="H713" s="21"/>
      <c r="I713" s="21"/>
      <c r="J713" s="21"/>
      <c r="K713" s="21"/>
      <c r="L713" s="21"/>
      <c r="M713" s="21"/>
      <c r="N713" s="21"/>
    </row>
    <row r="714" spans="1:14" x14ac:dyDescent="0.25">
      <c r="A714" s="151"/>
      <c r="B714" s="64"/>
      <c r="C714" s="64"/>
      <c r="D714" s="64"/>
      <c r="E714" s="64"/>
      <c r="F714" s="71" t="s">
        <v>178</v>
      </c>
      <c r="G714" s="64"/>
      <c r="H714" s="21"/>
      <c r="I714" s="21"/>
      <c r="J714" s="21"/>
      <c r="K714" s="21"/>
      <c r="L714" s="21"/>
      <c r="M714" s="21"/>
      <c r="N714" s="21"/>
    </row>
    <row r="715" spans="1:14" x14ac:dyDescent="0.25">
      <c r="A715" s="151"/>
      <c r="B715" s="64">
        <v>3020</v>
      </c>
      <c r="C715" s="64" t="s">
        <v>15</v>
      </c>
      <c r="D715" s="64">
        <v>2</v>
      </c>
      <c r="E715" s="64">
        <v>0</v>
      </c>
      <c r="F715" s="71" t="s">
        <v>354</v>
      </c>
      <c r="G715" s="64"/>
      <c r="H715" s="21"/>
      <c r="I715" s="21"/>
      <c r="J715" s="21"/>
      <c r="K715" s="21"/>
      <c r="L715" s="21"/>
      <c r="M715" s="21"/>
      <c r="N715" s="21"/>
    </row>
    <row r="716" spans="1:14" ht="57" customHeight="1" x14ac:dyDescent="0.25">
      <c r="A716" s="151"/>
      <c r="B716" s="64"/>
      <c r="C716" s="64"/>
      <c r="D716" s="64"/>
      <c r="E716" s="64"/>
      <c r="F716" s="71" t="s">
        <v>156</v>
      </c>
      <c r="G716" s="64"/>
      <c r="H716" s="21"/>
      <c r="I716" s="21"/>
      <c r="J716" s="21"/>
      <c r="K716" s="21"/>
      <c r="L716" s="21"/>
      <c r="M716" s="21"/>
      <c r="N716" s="21"/>
    </row>
    <row r="717" spans="1:14" x14ac:dyDescent="0.25">
      <c r="A717" s="151"/>
      <c r="B717" s="64">
        <v>3021</v>
      </c>
      <c r="C717" s="64" t="s">
        <v>15</v>
      </c>
      <c r="D717" s="64">
        <v>2</v>
      </c>
      <c r="E717" s="64">
        <v>1</v>
      </c>
      <c r="F717" s="71" t="s">
        <v>354</v>
      </c>
      <c r="G717" s="64"/>
      <c r="H717" s="21"/>
      <c r="I717" s="21"/>
      <c r="J717" s="21"/>
      <c r="K717" s="21"/>
      <c r="L717" s="21"/>
      <c r="M717" s="21"/>
      <c r="N717" s="21"/>
    </row>
    <row r="718" spans="1:14" ht="40.5" x14ac:dyDescent="0.25">
      <c r="A718" s="151"/>
      <c r="B718" s="64"/>
      <c r="C718" s="64"/>
      <c r="D718" s="64"/>
      <c r="E718" s="64"/>
      <c r="F718" s="71" t="s">
        <v>177</v>
      </c>
      <c r="G718" s="64"/>
      <c r="H718" s="21"/>
      <c r="I718" s="21"/>
      <c r="J718" s="21"/>
      <c r="K718" s="21"/>
      <c r="L718" s="21"/>
      <c r="M718" s="21"/>
      <c r="N718" s="21"/>
    </row>
    <row r="719" spans="1:14" x14ac:dyDescent="0.25">
      <c r="A719" s="151"/>
      <c r="B719" s="64"/>
      <c r="C719" s="64"/>
      <c r="D719" s="64"/>
      <c r="E719" s="64"/>
      <c r="F719" s="71" t="s">
        <v>178</v>
      </c>
      <c r="G719" s="64"/>
      <c r="H719" s="21"/>
      <c r="I719" s="21"/>
      <c r="J719" s="21"/>
      <c r="K719" s="21"/>
      <c r="L719" s="21"/>
      <c r="M719" s="21"/>
      <c r="N719" s="21"/>
    </row>
    <row r="720" spans="1:14" x14ac:dyDescent="0.25">
      <c r="A720" s="151"/>
      <c r="B720" s="64">
        <v>3030</v>
      </c>
      <c r="C720" s="64" t="s">
        <v>15</v>
      </c>
      <c r="D720" s="64">
        <v>3</v>
      </c>
      <c r="E720" s="64">
        <v>0</v>
      </c>
      <c r="F720" s="71" t="s">
        <v>355</v>
      </c>
      <c r="G720" s="64"/>
      <c r="H720" s="21">
        <f t="shared" ref="H720:N720" si="113">H722</f>
        <v>2606</v>
      </c>
      <c r="I720" s="21">
        <f t="shared" si="113"/>
        <v>2606</v>
      </c>
      <c r="J720" s="21">
        <f t="shared" si="113"/>
        <v>0</v>
      </c>
      <c r="K720" s="21">
        <f t="shared" si="113"/>
        <v>726.47619047619048</v>
      </c>
      <c r="L720" s="21">
        <f t="shared" si="113"/>
        <v>1357.2936507936508</v>
      </c>
      <c r="M720" s="21">
        <f t="shared" si="113"/>
        <v>2039.8174603174605</v>
      </c>
      <c r="N720" s="21">
        <f t="shared" si="113"/>
        <v>2606</v>
      </c>
    </row>
    <row r="721" spans="1:14" x14ac:dyDescent="0.25">
      <c r="A721" s="151"/>
      <c r="B721" s="64"/>
      <c r="C721" s="64"/>
      <c r="D721" s="64"/>
      <c r="E721" s="64"/>
      <c r="F721" s="71" t="s">
        <v>156</v>
      </c>
      <c r="G721" s="64"/>
      <c r="H721" s="21"/>
      <c r="I721" s="21"/>
      <c r="J721" s="21"/>
      <c r="K721" s="21"/>
      <c r="L721" s="21"/>
      <c r="M721" s="21"/>
      <c r="N721" s="21"/>
    </row>
    <row r="722" spans="1:14" x14ac:dyDescent="0.25">
      <c r="A722" s="151"/>
      <c r="B722" s="64">
        <v>3031</v>
      </c>
      <c r="C722" s="64" t="s">
        <v>15</v>
      </c>
      <c r="D722" s="64">
        <v>3</v>
      </c>
      <c r="E722" s="64">
        <v>1</v>
      </c>
      <c r="F722" s="71" t="s">
        <v>355</v>
      </c>
      <c r="G722" s="64">
        <v>4239</v>
      </c>
      <c r="H722" s="21">
        <f>SUM(I722:J722)</f>
        <v>2606</v>
      </c>
      <c r="I722" s="21">
        <f>2500+106</f>
        <v>2606</v>
      </c>
      <c r="J722" s="21"/>
      <c r="K722" s="145">
        <v>726.47619047619048</v>
      </c>
      <c r="L722" s="145">
        <v>1357.2936507936508</v>
      </c>
      <c r="M722" s="145">
        <v>2039.8174603174605</v>
      </c>
      <c r="N722" s="145">
        <f t="shared" ref="N722" si="114">+H722</f>
        <v>2606</v>
      </c>
    </row>
    <row r="723" spans="1:14" x14ac:dyDescent="0.25">
      <c r="A723" s="151"/>
      <c r="B723" s="64"/>
      <c r="C723" s="64"/>
      <c r="D723" s="64"/>
      <c r="E723" s="64"/>
      <c r="F723" s="71"/>
      <c r="G723" s="64"/>
      <c r="H723" s="21"/>
      <c r="I723" s="21"/>
      <c r="J723" s="21"/>
      <c r="K723" s="21"/>
      <c r="L723" s="21"/>
      <c r="M723" s="21"/>
      <c r="N723" s="21"/>
    </row>
    <row r="724" spans="1:14" x14ac:dyDescent="0.25">
      <c r="A724" s="151"/>
      <c r="B724" s="64">
        <v>3040</v>
      </c>
      <c r="C724" s="64" t="s">
        <v>15</v>
      </c>
      <c r="D724" s="64">
        <v>4</v>
      </c>
      <c r="E724" s="64">
        <v>0</v>
      </c>
      <c r="F724" s="71" t="s">
        <v>356</v>
      </c>
      <c r="G724" s="64"/>
      <c r="H724" s="21">
        <f>+H726</f>
        <v>20000</v>
      </c>
      <c r="I724" s="21">
        <f t="shared" ref="I724:N724" si="115">+I726</f>
        <v>20000</v>
      </c>
      <c r="J724" s="21">
        <f t="shared" si="115"/>
        <v>0</v>
      </c>
      <c r="K724" s="21">
        <f t="shared" si="115"/>
        <v>0</v>
      </c>
      <c r="L724" s="21">
        <f t="shared" si="115"/>
        <v>0</v>
      </c>
      <c r="M724" s="21">
        <f t="shared" si="115"/>
        <v>0</v>
      </c>
      <c r="N724" s="21">
        <f t="shared" si="115"/>
        <v>20000</v>
      </c>
    </row>
    <row r="725" spans="1:14" ht="56.25" customHeight="1" x14ac:dyDescent="0.25">
      <c r="A725" s="151"/>
      <c r="B725" s="64"/>
      <c r="C725" s="64"/>
      <c r="D725" s="64"/>
      <c r="E725" s="64"/>
      <c r="F725" s="71" t="s">
        <v>156</v>
      </c>
      <c r="G725" s="64"/>
      <c r="H725" s="21"/>
      <c r="I725" s="21"/>
      <c r="J725" s="21"/>
      <c r="K725" s="21"/>
      <c r="L725" s="21"/>
      <c r="M725" s="21"/>
      <c r="N725" s="21"/>
    </row>
    <row r="726" spans="1:14" x14ac:dyDescent="0.25">
      <c r="A726" s="151"/>
      <c r="B726" s="64">
        <v>3041</v>
      </c>
      <c r="C726" s="64" t="s">
        <v>15</v>
      </c>
      <c r="D726" s="64">
        <v>4</v>
      </c>
      <c r="E726" s="64">
        <v>1</v>
      </c>
      <c r="F726" s="71" t="s">
        <v>356</v>
      </c>
      <c r="G726" s="64"/>
      <c r="H726" s="21">
        <f>+H728</f>
        <v>20000</v>
      </c>
      <c r="I726" s="21">
        <f t="shared" ref="I726:N726" si="116">+I728</f>
        <v>20000</v>
      </c>
      <c r="J726" s="21">
        <f t="shared" si="116"/>
        <v>0</v>
      </c>
      <c r="K726" s="21">
        <f t="shared" si="116"/>
        <v>0</v>
      </c>
      <c r="L726" s="21">
        <f t="shared" si="116"/>
        <v>0</v>
      </c>
      <c r="M726" s="21">
        <f t="shared" si="116"/>
        <v>0</v>
      </c>
      <c r="N726" s="21">
        <f t="shared" si="116"/>
        <v>20000</v>
      </c>
    </row>
    <row r="727" spans="1:14" ht="40.5" x14ac:dyDescent="0.25">
      <c r="A727" s="151"/>
      <c r="B727" s="64"/>
      <c r="C727" s="64"/>
      <c r="D727" s="64"/>
      <c r="E727" s="64"/>
      <c r="F727" s="71" t="s">
        <v>177</v>
      </c>
      <c r="G727" s="64"/>
      <c r="H727" s="21"/>
      <c r="I727" s="21"/>
      <c r="J727" s="21"/>
      <c r="K727" s="21"/>
      <c r="L727" s="21"/>
      <c r="M727" s="21"/>
      <c r="N727" s="21"/>
    </row>
    <row r="728" spans="1:14" x14ac:dyDescent="0.25">
      <c r="A728" s="151"/>
      <c r="B728" s="64"/>
      <c r="C728" s="64"/>
      <c r="D728" s="64"/>
      <c r="E728" s="64"/>
      <c r="F728" s="71" t="s">
        <v>578</v>
      </c>
      <c r="G728" s="64">
        <v>4729</v>
      </c>
      <c r="H728" s="21">
        <f>SUM(I728:J728)</f>
        <v>20000</v>
      </c>
      <c r="I728" s="21">
        <v>20000</v>
      </c>
      <c r="J728" s="21"/>
      <c r="K728" s="145">
        <v>0</v>
      </c>
      <c r="L728" s="145">
        <v>0</v>
      </c>
      <c r="M728" s="145">
        <v>0</v>
      </c>
      <c r="N728" s="145">
        <f t="shared" ref="N728" si="117">+H728</f>
        <v>20000</v>
      </c>
    </row>
    <row r="729" spans="1:14" x14ac:dyDescent="0.25">
      <c r="A729" s="151"/>
      <c r="B729" s="64"/>
      <c r="C729" s="64"/>
      <c r="D729" s="64"/>
      <c r="E729" s="64"/>
      <c r="F729" s="71" t="s">
        <v>178</v>
      </c>
      <c r="G729" s="64"/>
      <c r="H729" s="21"/>
      <c r="I729" s="21"/>
      <c r="J729" s="21"/>
      <c r="K729" s="21"/>
      <c r="L729" s="21"/>
      <c r="M729" s="21"/>
      <c r="N729" s="21"/>
    </row>
    <row r="730" spans="1:14" x14ac:dyDescent="0.25">
      <c r="A730" s="151"/>
      <c r="B730" s="64">
        <v>3050</v>
      </c>
      <c r="C730" s="64" t="s">
        <v>15</v>
      </c>
      <c r="D730" s="64">
        <v>5</v>
      </c>
      <c r="E730" s="64">
        <v>0</v>
      </c>
      <c r="F730" s="71" t="s">
        <v>357</v>
      </c>
      <c r="G730" s="64"/>
      <c r="H730" s="21"/>
      <c r="I730" s="21"/>
      <c r="J730" s="21"/>
      <c r="K730" s="21"/>
      <c r="L730" s="21"/>
      <c r="M730" s="21"/>
      <c r="N730" s="21"/>
    </row>
    <row r="731" spans="1:14" ht="60.75" customHeight="1" x14ac:dyDescent="0.25">
      <c r="A731" s="151"/>
      <c r="B731" s="64"/>
      <c r="C731" s="64"/>
      <c r="D731" s="64"/>
      <c r="E731" s="64"/>
      <c r="F731" s="71" t="s">
        <v>156</v>
      </c>
      <c r="G731" s="64"/>
      <c r="H731" s="21"/>
      <c r="I731" s="21"/>
      <c r="J731" s="21"/>
      <c r="K731" s="21"/>
      <c r="L731" s="21"/>
      <c r="M731" s="21"/>
      <c r="N731" s="21"/>
    </row>
    <row r="732" spans="1:14" x14ac:dyDescent="0.25">
      <c r="A732" s="151"/>
      <c r="B732" s="64">
        <v>3051</v>
      </c>
      <c r="C732" s="64" t="s">
        <v>15</v>
      </c>
      <c r="D732" s="64">
        <v>5</v>
      </c>
      <c r="E732" s="64">
        <v>1</v>
      </c>
      <c r="F732" s="71" t="s">
        <v>357</v>
      </c>
      <c r="G732" s="64"/>
      <c r="H732" s="21"/>
      <c r="I732" s="21"/>
      <c r="J732" s="21"/>
      <c r="K732" s="21"/>
      <c r="L732" s="21"/>
      <c r="M732" s="21"/>
      <c r="N732" s="21"/>
    </row>
    <row r="733" spans="1:14" ht="40.5" x14ac:dyDescent="0.25">
      <c r="A733" s="151"/>
      <c r="B733" s="64"/>
      <c r="C733" s="64"/>
      <c r="D733" s="64"/>
      <c r="E733" s="64"/>
      <c r="F733" s="71" t="s">
        <v>177</v>
      </c>
      <c r="G733" s="64"/>
      <c r="H733" s="21"/>
      <c r="I733" s="21"/>
      <c r="J733" s="21"/>
      <c r="K733" s="21"/>
      <c r="L733" s="21"/>
      <c r="M733" s="21"/>
      <c r="N733" s="21"/>
    </row>
    <row r="734" spans="1:14" x14ac:dyDescent="0.25">
      <c r="A734" s="151"/>
      <c r="B734" s="64"/>
      <c r="C734" s="64"/>
      <c r="D734" s="64"/>
      <c r="E734" s="64"/>
      <c r="F734" s="71" t="s">
        <v>178</v>
      </c>
      <c r="G734" s="64"/>
      <c r="H734" s="21"/>
      <c r="I734" s="21"/>
      <c r="J734" s="21"/>
      <c r="K734" s="21"/>
      <c r="L734" s="21"/>
      <c r="M734" s="21"/>
      <c r="N734" s="21"/>
    </row>
    <row r="735" spans="1:14" x14ac:dyDescent="0.25">
      <c r="A735" s="151"/>
      <c r="B735" s="64">
        <v>3060</v>
      </c>
      <c r="C735" s="64" t="s">
        <v>15</v>
      </c>
      <c r="D735" s="64">
        <v>6</v>
      </c>
      <c r="E735" s="64">
        <v>0</v>
      </c>
      <c r="F735" s="71" t="s">
        <v>358</v>
      </c>
      <c r="G735" s="64"/>
      <c r="H735" s="21">
        <f t="shared" ref="H735:N735" si="118">H737</f>
        <v>1200</v>
      </c>
      <c r="I735" s="21">
        <f t="shared" si="118"/>
        <v>1200</v>
      </c>
      <c r="J735" s="21">
        <f t="shared" si="118"/>
        <v>0</v>
      </c>
      <c r="K735" s="21">
        <f t="shared" si="118"/>
        <v>285.71428571428572</v>
      </c>
      <c r="L735" s="21">
        <f t="shared" si="118"/>
        <v>576.19047619047615</v>
      </c>
      <c r="M735" s="21">
        <f t="shared" si="118"/>
        <v>890.47619047619048</v>
      </c>
      <c r="N735" s="21">
        <f t="shared" si="118"/>
        <v>1200</v>
      </c>
    </row>
    <row r="736" spans="1:14" ht="57.75" customHeight="1" x14ac:dyDescent="0.25">
      <c r="A736" s="151"/>
      <c r="B736" s="64"/>
      <c r="C736" s="64"/>
      <c r="D736" s="64"/>
      <c r="E736" s="64"/>
      <c r="F736" s="71" t="s">
        <v>156</v>
      </c>
      <c r="G736" s="64"/>
      <c r="H736" s="21"/>
      <c r="I736" s="21"/>
      <c r="J736" s="21"/>
      <c r="K736" s="21"/>
      <c r="L736" s="21"/>
      <c r="M736" s="21"/>
      <c r="N736" s="21"/>
    </row>
    <row r="737" spans="1:16" x14ac:dyDescent="0.25">
      <c r="A737" s="151"/>
      <c r="B737" s="64">
        <v>3061</v>
      </c>
      <c r="C737" s="64" t="s">
        <v>15</v>
      </c>
      <c r="D737" s="64">
        <v>6</v>
      </c>
      <c r="E737" s="64">
        <v>1</v>
      </c>
      <c r="F737" s="71" t="s">
        <v>358</v>
      </c>
      <c r="G737" s="64"/>
      <c r="H737" s="21">
        <f>+H739+H740+H741</f>
        <v>1200</v>
      </c>
      <c r="I737" s="21">
        <f t="shared" ref="I737:N737" si="119">+I739+I740+I741</f>
        <v>1200</v>
      </c>
      <c r="J737" s="21">
        <f t="shared" si="119"/>
        <v>0</v>
      </c>
      <c r="K737" s="21">
        <f t="shared" si="119"/>
        <v>285.71428571428572</v>
      </c>
      <c r="L737" s="21">
        <f t="shared" si="119"/>
        <v>576.19047619047615</v>
      </c>
      <c r="M737" s="21">
        <f t="shared" si="119"/>
        <v>890.47619047619048</v>
      </c>
      <c r="N737" s="21">
        <f t="shared" si="119"/>
        <v>1200</v>
      </c>
    </row>
    <row r="738" spans="1:16" ht="40.5" x14ac:dyDescent="0.25">
      <c r="A738" s="151"/>
      <c r="B738" s="64"/>
      <c r="C738" s="64"/>
      <c r="D738" s="64"/>
      <c r="E738" s="64"/>
      <c r="F738" s="71" t="s">
        <v>177</v>
      </c>
      <c r="G738" s="64"/>
      <c r="H738" s="21"/>
      <c r="I738" s="21"/>
      <c r="J738" s="21"/>
      <c r="K738" s="21"/>
      <c r="L738" s="21"/>
      <c r="M738" s="21"/>
      <c r="N738" s="21"/>
    </row>
    <row r="739" spans="1:16" x14ac:dyDescent="0.25">
      <c r="A739" s="151"/>
      <c r="B739" s="64"/>
      <c r="C739" s="64"/>
      <c r="D739" s="64"/>
      <c r="E739" s="64"/>
      <c r="F739" s="71" t="s">
        <v>577</v>
      </c>
      <c r="G739" s="64">
        <v>4728</v>
      </c>
      <c r="H739" s="21">
        <f>SUM(I739:J739)</f>
        <v>1200</v>
      </c>
      <c r="I739" s="21">
        <v>1200</v>
      </c>
      <c r="J739" s="21"/>
      <c r="K739" s="145">
        <f t="shared" ref="K739" si="120">+H739/252*60</f>
        <v>285.71428571428572</v>
      </c>
      <c r="L739" s="145">
        <f t="shared" ref="L739" si="121">+H739/252*121</f>
        <v>576.19047619047615</v>
      </c>
      <c r="M739" s="145">
        <f t="shared" ref="M739" si="122">+H739/252*187</f>
        <v>890.47619047619048</v>
      </c>
      <c r="N739" s="145">
        <f t="shared" ref="N739" si="123">+H739</f>
        <v>1200</v>
      </c>
    </row>
    <row r="740" spans="1:16" ht="37.5" customHeight="1" x14ac:dyDescent="0.25">
      <c r="A740" s="151"/>
      <c r="B740" s="64"/>
      <c r="C740" s="64"/>
      <c r="D740" s="64"/>
      <c r="E740" s="64"/>
      <c r="F740" s="9" t="s">
        <v>496</v>
      </c>
      <c r="G740" s="64" t="s">
        <v>90</v>
      </c>
      <c r="H740" s="21">
        <v>0</v>
      </c>
      <c r="I740" s="21"/>
      <c r="J740" s="21"/>
      <c r="K740" s="84"/>
      <c r="L740" s="84"/>
      <c r="M740" s="84"/>
      <c r="N740" s="84"/>
    </row>
    <row r="741" spans="1:16" ht="27" x14ac:dyDescent="0.25">
      <c r="A741" s="151"/>
      <c r="B741" s="64"/>
      <c r="C741" s="64"/>
      <c r="D741" s="64"/>
      <c r="E741" s="64"/>
      <c r="F741" s="71" t="s">
        <v>597</v>
      </c>
      <c r="G741" s="64" t="s">
        <v>80</v>
      </c>
      <c r="H741" s="21">
        <v>0</v>
      </c>
      <c r="I741" s="21"/>
      <c r="J741" s="21"/>
      <c r="K741" s="84"/>
      <c r="L741" s="84"/>
      <c r="M741" s="84"/>
      <c r="N741" s="84"/>
    </row>
    <row r="742" spans="1:16" ht="36" customHeight="1" x14ac:dyDescent="0.25">
      <c r="A742" s="151"/>
      <c r="B742" s="64">
        <v>3070</v>
      </c>
      <c r="C742" s="64" t="s">
        <v>15</v>
      </c>
      <c r="D742" s="64">
        <v>7</v>
      </c>
      <c r="E742" s="64">
        <v>0</v>
      </c>
      <c r="F742" s="71" t="s">
        <v>359</v>
      </c>
      <c r="G742" s="64"/>
      <c r="H742" s="21">
        <f t="shared" ref="H742:N742" si="124">H744+H745</f>
        <v>26500</v>
      </c>
      <c r="I742" s="21">
        <f t="shared" si="124"/>
        <v>26500</v>
      </c>
      <c r="J742" s="21">
        <f t="shared" si="124"/>
        <v>0</v>
      </c>
      <c r="K742" s="21">
        <f t="shared" si="124"/>
        <v>1309.5238095238096</v>
      </c>
      <c r="L742" s="21">
        <f t="shared" si="124"/>
        <v>6803.5714285714275</v>
      </c>
      <c r="M742" s="21">
        <f t="shared" si="124"/>
        <v>20696.428571428569</v>
      </c>
      <c r="N742" s="21">
        <f t="shared" si="124"/>
        <v>26500</v>
      </c>
    </row>
    <row r="743" spans="1:16" ht="55.5" customHeight="1" x14ac:dyDescent="0.25">
      <c r="A743" s="151"/>
      <c r="B743" s="64"/>
      <c r="C743" s="64"/>
      <c r="D743" s="64"/>
      <c r="E743" s="64"/>
      <c r="F743" s="71" t="s">
        <v>156</v>
      </c>
      <c r="G743" s="64"/>
      <c r="H743" s="21"/>
      <c r="I743" s="21"/>
      <c r="J743" s="21"/>
      <c r="K743" s="21"/>
      <c r="L743" s="21"/>
      <c r="M743" s="21"/>
      <c r="N743" s="21"/>
    </row>
    <row r="744" spans="1:16" ht="27" x14ac:dyDescent="0.25">
      <c r="A744" s="151"/>
      <c r="B744" s="64">
        <v>3071</v>
      </c>
      <c r="C744" s="64" t="s">
        <v>15</v>
      </c>
      <c r="D744" s="64">
        <v>7</v>
      </c>
      <c r="E744" s="64">
        <v>1</v>
      </c>
      <c r="F744" s="71" t="s">
        <v>576</v>
      </c>
      <c r="G744" s="64"/>
      <c r="H744" s="21">
        <f t="shared" ref="H744:N744" si="125">H746+H747+H748+H749</f>
        <v>26500</v>
      </c>
      <c r="I744" s="21">
        <f t="shared" si="125"/>
        <v>26500</v>
      </c>
      <c r="J744" s="21">
        <f t="shared" si="125"/>
        <v>0</v>
      </c>
      <c r="K744" s="21">
        <f t="shared" si="125"/>
        <v>1309.5238095238096</v>
      </c>
      <c r="L744" s="21">
        <f t="shared" si="125"/>
        <v>6803.5714285714275</v>
      </c>
      <c r="M744" s="21">
        <f t="shared" si="125"/>
        <v>20696.428571428569</v>
      </c>
      <c r="N744" s="21">
        <f t="shared" si="125"/>
        <v>26500</v>
      </c>
    </row>
    <row r="745" spans="1:16" ht="40.5" x14ac:dyDescent="0.25">
      <c r="A745" s="151"/>
      <c r="B745" s="64"/>
      <c r="C745" s="64"/>
      <c r="D745" s="64"/>
      <c r="E745" s="64"/>
      <c r="F745" s="71" t="s">
        <v>177</v>
      </c>
      <c r="G745" s="64"/>
      <c r="H745" s="21"/>
      <c r="I745" s="21"/>
      <c r="J745" s="21"/>
      <c r="K745" s="21"/>
      <c r="L745" s="21"/>
      <c r="M745" s="21"/>
      <c r="N745" s="21"/>
    </row>
    <row r="746" spans="1:16" x14ac:dyDescent="0.25">
      <c r="A746" s="151"/>
      <c r="B746" s="64"/>
      <c r="C746" s="64"/>
      <c r="D746" s="64"/>
      <c r="E746" s="64"/>
      <c r="F746" s="71" t="s">
        <v>166</v>
      </c>
      <c r="G746" s="64">
        <v>4239</v>
      </c>
      <c r="H746" s="21">
        <v>0</v>
      </c>
      <c r="I746" s="21"/>
      <c r="J746" s="21"/>
      <c r="K746" s="84"/>
      <c r="L746" s="84"/>
      <c r="M746" s="84"/>
      <c r="N746" s="84"/>
    </row>
    <row r="747" spans="1:16" x14ac:dyDescent="0.25">
      <c r="A747" s="151"/>
      <c r="B747" s="64"/>
      <c r="C747" s="64"/>
      <c r="D747" s="64"/>
      <c r="E747" s="64"/>
      <c r="F747" s="72" t="s">
        <v>413</v>
      </c>
      <c r="G747" s="64">
        <v>4261</v>
      </c>
      <c r="H747" s="21">
        <f>SUM(I747:J747)</f>
        <v>4000</v>
      </c>
      <c r="I747" s="21">
        <v>4000</v>
      </c>
      <c r="J747" s="21"/>
      <c r="K747" s="145">
        <f t="shared" ref="K747:K749" si="126">+H747/252*60</f>
        <v>952.38095238095241</v>
      </c>
      <c r="L747" s="145">
        <v>4000</v>
      </c>
      <c r="M747" s="145">
        <v>4000</v>
      </c>
      <c r="N747" s="145">
        <f t="shared" ref="N747:N749" si="127">+H747</f>
        <v>4000</v>
      </c>
      <c r="P747" s="151"/>
    </row>
    <row r="748" spans="1:16" x14ac:dyDescent="0.25">
      <c r="A748" s="151"/>
      <c r="B748" s="64"/>
      <c r="C748" s="64"/>
      <c r="D748" s="64"/>
      <c r="E748" s="64"/>
      <c r="F748" s="71" t="s">
        <v>575</v>
      </c>
      <c r="G748" s="64">
        <v>4729</v>
      </c>
      <c r="H748" s="21">
        <f>SUM(I748:J748)</f>
        <v>21000</v>
      </c>
      <c r="I748" s="21">
        <v>21000</v>
      </c>
      <c r="J748" s="21"/>
      <c r="K748" s="145">
        <v>0</v>
      </c>
      <c r="L748" s="145">
        <v>2083.3333333333321</v>
      </c>
      <c r="M748" s="145">
        <f t="shared" ref="M748:M749" si="128">+H748/252*187</f>
        <v>15583.333333333332</v>
      </c>
      <c r="N748" s="145">
        <f t="shared" si="127"/>
        <v>21000</v>
      </c>
      <c r="P748" s="151"/>
    </row>
    <row r="749" spans="1:16" ht="27" x14ac:dyDescent="0.25">
      <c r="A749" s="151"/>
      <c r="B749" s="64"/>
      <c r="C749" s="64"/>
      <c r="D749" s="64"/>
      <c r="E749" s="64"/>
      <c r="F749" s="71" t="s">
        <v>597</v>
      </c>
      <c r="G749" s="64" t="s">
        <v>80</v>
      </c>
      <c r="H749" s="21">
        <f>SUM(I749:J749)</f>
        <v>1500</v>
      </c>
      <c r="I749" s="21">
        <v>1500</v>
      </c>
      <c r="J749" s="21"/>
      <c r="K749" s="145">
        <f t="shared" si="126"/>
        <v>357.14285714285717</v>
      </c>
      <c r="L749" s="145">
        <f t="shared" ref="L749" si="129">+H749/252*121</f>
        <v>720.2380952380953</v>
      </c>
      <c r="M749" s="145">
        <f t="shared" si="128"/>
        <v>1113.0952380952381</v>
      </c>
      <c r="N749" s="145">
        <f t="shared" si="127"/>
        <v>1500</v>
      </c>
      <c r="P749" s="151"/>
    </row>
    <row r="750" spans="1:16" ht="54.75" customHeight="1" x14ac:dyDescent="0.25">
      <c r="A750" s="151"/>
      <c r="B750" s="64"/>
      <c r="C750" s="64"/>
      <c r="D750" s="64"/>
      <c r="E750" s="64"/>
      <c r="F750" s="71"/>
      <c r="G750" s="64"/>
      <c r="H750" s="21"/>
      <c r="I750" s="21"/>
      <c r="J750" s="21"/>
      <c r="K750" s="21"/>
      <c r="L750" s="21"/>
      <c r="M750" s="21"/>
      <c r="N750" s="21"/>
    </row>
    <row r="751" spans="1:16" x14ac:dyDescent="0.25">
      <c r="A751" s="151"/>
      <c r="B751" s="64">
        <v>3080</v>
      </c>
      <c r="C751" s="64" t="s">
        <v>15</v>
      </c>
      <c r="D751" s="64">
        <v>8</v>
      </c>
      <c r="E751" s="64">
        <v>0</v>
      </c>
      <c r="F751" s="71" t="s">
        <v>571</v>
      </c>
      <c r="G751" s="64"/>
      <c r="H751" s="21"/>
      <c r="I751" s="21"/>
      <c r="J751" s="21"/>
      <c r="K751" s="21"/>
      <c r="L751" s="21"/>
      <c r="M751" s="21"/>
      <c r="N751" s="21"/>
    </row>
    <row r="752" spans="1:16" ht="27" x14ac:dyDescent="0.25">
      <c r="A752" s="151"/>
      <c r="B752" s="64"/>
      <c r="C752" s="64"/>
      <c r="D752" s="64"/>
      <c r="E752" s="64"/>
      <c r="F752" s="71" t="s">
        <v>360</v>
      </c>
      <c r="G752" s="64"/>
      <c r="H752" s="21"/>
      <c r="I752" s="21"/>
      <c r="J752" s="21"/>
      <c r="K752" s="21"/>
      <c r="L752" s="21"/>
      <c r="M752" s="21"/>
      <c r="N752" s="21"/>
    </row>
    <row r="753" spans="1:14" ht="35.25" customHeight="1" x14ac:dyDescent="0.25">
      <c r="A753" s="151"/>
      <c r="B753" s="64">
        <v>3081</v>
      </c>
      <c r="C753" s="64" t="s">
        <v>15</v>
      </c>
      <c r="D753" s="64">
        <v>8</v>
      </c>
      <c r="E753" s="64">
        <v>1</v>
      </c>
      <c r="F753" s="71" t="s">
        <v>156</v>
      </c>
      <c r="G753" s="64"/>
      <c r="H753" s="21"/>
      <c r="I753" s="21"/>
      <c r="J753" s="21"/>
      <c r="K753" s="21"/>
      <c r="L753" s="21"/>
      <c r="M753" s="21"/>
      <c r="N753" s="21"/>
    </row>
    <row r="754" spans="1:14" ht="27" x14ac:dyDescent="0.25">
      <c r="A754" s="151"/>
      <c r="B754" s="64"/>
      <c r="C754" s="64"/>
      <c r="D754" s="64"/>
      <c r="E754" s="64"/>
      <c r="F754" s="71" t="s">
        <v>360</v>
      </c>
      <c r="G754" s="64"/>
      <c r="H754" s="21"/>
      <c r="I754" s="21"/>
      <c r="J754" s="21"/>
      <c r="K754" s="21"/>
      <c r="L754" s="21"/>
      <c r="M754" s="21"/>
      <c r="N754" s="21"/>
    </row>
    <row r="755" spans="1:14" ht="34.5" customHeight="1" x14ac:dyDescent="0.25">
      <c r="A755" s="151"/>
      <c r="B755" s="64">
        <v>3090</v>
      </c>
      <c r="C755" s="64" t="s">
        <v>15</v>
      </c>
      <c r="D755" s="64">
        <v>9</v>
      </c>
      <c r="E755" s="64">
        <v>0</v>
      </c>
      <c r="F755" s="71" t="s">
        <v>361</v>
      </c>
      <c r="G755" s="64"/>
      <c r="H755" s="21">
        <f>+H757</f>
        <v>0</v>
      </c>
      <c r="I755" s="21">
        <f t="shared" ref="I755:N755" si="130">+I757</f>
        <v>0</v>
      </c>
      <c r="J755" s="21">
        <f t="shared" si="130"/>
        <v>0</v>
      </c>
      <c r="K755" s="21">
        <f t="shared" si="130"/>
        <v>0</v>
      </c>
      <c r="L755" s="21">
        <f t="shared" si="130"/>
        <v>0</v>
      </c>
      <c r="M755" s="21">
        <f t="shared" si="130"/>
        <v>0</v>
      </c>
      <c r="N755" s="21">
        <f t="shared" si="130"/>
        <v>0</v>
      </c>
    </row>
    <row r="756" spans="1:14" ht="57" customHeight="1" x14ac:dyDescent="0.25">
      <c r="A756" s="151"/>
      <c r="B756" s="64"/>
      <c r="C756" s="64"/>
      <c r="D756" s="64"/>
      <c r="E756" s="64"/>
      <c r="F756" s="71" t="s">
        <v>156</v>
      </c>
      <c r="G756" s="64"/>
      <c r="H756" s="21"/>
      <c r="I756" s="21"/>
      <c r="J756" s="21"/>
      <c r="K756" s="21"/>
      <c r="L756" s="21"/>
      <c r="M756" s="21"/>
      <c r="N756" s="21"/>
    </row>
    <row r="757" spans="1:14" ht="27" x14ac:dyDescent="0.25">
      <c r="A757" s="151"/>
      <c r="B757" s="64">
        <v>3091</v>
      </c>
      <c r="C757" s="64" t="s">
        <v>15</v>
      </c>
      <c r="D757" s="64">
        <v>9</v>
      </c>
      <c r="E757" s="64">
        <v>1</v>
      </c>
      <c r="F757" s="71" t="s">
        <v>361</v>
      </c>
      <c r="G757" s="64"/>
      <c r="H757" s="21">
        <f>SUM(H759:H766)</f>
        <v>0</v>
      </c>
      <c r="I757" s="21">
        <f t="shared" ref="I757:N757" si="131">SUM(I759:I766)</f>
        <v>0</v>
      </c>
      <c r="J757" s="21">
        <f t="shared" si="131"/>
        <v>0</v>
      </c>
      <c r="K757" s="21">
        <f t="shared" si="131"/>
        <v>0</v>
      </c>
      <c r="L757" s="21">
        <f t="shared" si="131"/>
        <v>0</v>
      </c>
      <c r="M757" s="21">
        <f t="shared" si="131"/>
        <v>0</v>
      </c>
      <c r="N757" s="21">
        <f t="shared" si="131"/>
        <v>0</v>
      </c>
    </row>
    <row r="758" spans="1:14" ht="40.5" x14ac:dyDescent="0.25">
      <c r="A758" s="151"/>
      <c r="B758" s="64"/>
      <c r="C758" s="64"/>
      <c r="D758" s="64"/>
      <c r="E758" s="64"/>
      <c r="F758" s="71" t="s">
        <v>177</v>
      </c>
      <c r="G758" s="64"/>
      <c r="H758" s="21"/>
      <c r="I758" s="21"/>
      <c r="J758" s="21"/>
      <c r="K758" s="21"/>
      <c r="L758" s="21"/>
      <c r="M758" s="21"/>
      <c r="N758" s="21"/>
    </row>
    <row r="759" spans="1:14" x14ac:dyDescent="0.25">
      <c r="A759" s="151"/>
      <c r="B759" s="64"/>
      <c r="C759" s="64"/>
      <c r="D759" s="64"/>
      <c r="E759" s="64"/>
      <c r="F759" s="71" t="s">
        <v>570</v>
      </c>
      <c r="G759" s="64">
        <v>4111</v>
      </c>
      <c r="H759" s="21">
        <v>0</v>
      </c>
      <c r="I759" s="21">
        <f>+H759</f>
        <v>0</v>
      </c>
      <c r="J759" s="21"/>
      <c r="K759" s="84">
        <f>+I759/4</f>
        <v>0</v>
      </c>
      <c r="L759" s="84">
        <f>+I759/4*2</f>
        <v>0</v>
      </c>
      <c r="M759" s="84">
        <f>+I759/4*3</f>
        <v>0</v>
      </c>
      <c r="N759" s="84">
        <f>+H759</f>
        <v>0</v>
      </c>
    </row>
    <row r="760" spans="1:14" x14ac:dyDescent="0.25">
      <c r="A760" s="151"/>
      <c r="B760" s="64"/>
      <c r="C760" s="64"/>
      <c r="D760" s="64"/>
      <c r="E760" s="64"/>
      <c r="F760" s="71" t="s">
        <v>571</v>
      </c>
      <c r="G760" s="64">
        <v>4212</v>
      </c>
      <c r="H760" s="21">
        <v>0</v>
      </c>
      <c r="I760" s="21">
        <f t="shared" ref="I760:I766" si="132">+H760</f>
        <v>0</v>
      </c>
      <c r="J760" s="21"/>
      <c r="K760" s="84">
        <f t="shared" ref="K760:K766" si="133">+H760/4</f>
        <v>0</v>
      </c>
      <c r="L760" s="84">
        <f t="shared" ref="L760:L766" si="134">+H760/4*2</f>
        <v>0</v>
      </c>
      <c r="M760" s="84">
        <f t="shared" ref="M760:M766" si="135">+H760/4*3</f>
        <v>0</v>
      </c>
      <c r="N760" s="84">
        <f t="shared" ref="N760:N766" si="136">+H760</f>
        <v>0</v>
      </c>
    </row>
    <row r="761" spans="1:14" x14ac:dyDescent="0.25">
      <c r="A761" s="151"/>
      <c r="B761" s="64"/>
      <c r="C761" s="64"/>
      <c r="D761" s="64"/>
      <c r="E761" s="64"/>
      <c r="F761" s="71" t="s">
        <v>572</v>
      </c>
      <c r="G761" s="64">
        <v>4214</v>
      </c>
      <c r="H761" s="21">
        <v>0</v>
      </c>
      <c r="I761" s="21">
        <f t="shared" si="132"/>
        <v>0</v>
      </c>
      <c r="J761" s="21"/>
      <c r="K761" s="84">
        <f t="shared" si="133"/>
        <v>0</v>
      </c>
      <c r="L761" s="84">
        <f t="shared" si="134"/>
        <v>0</v>
      </c>
      <c r="M761" s="84">
        <f t="shared" si="135"/>
        <v>0</v>
      </c>
      <c r="N761" s="84">
        <f t="shared" si="136"/>
        <v>0</v>
      </c>
    </row>
    <row r="762" spans="1:14" x14ac:dyDescent="0.25">
      <c r="A762" s="151"/>
      <c r="B762" s="64"/>
      <c r="C762" s="64"/>
      <c r="D762" s="64"/>
      <c r="E762" s="64"/>
      <c r="F762" s="71" t="s">
        <v>749</v>
      </c>
      <c r="G762" s="64" t="s">
        <v>50</v>
      </c>
      <c r="H762" s="21">
        <v>0</v>
      </c>
      <c r="I762" s="21">
        <f t="shared" si="132"/>
        <v>0</v>
      </c>
      <c r="J762" s="21"/>
      <c r="K762" s="84">
        <f t="shared" si="133"/>
        <v>0</v>
      </c>
      <c r="L762" s="84">
        <f t="shared" si="134"/>
        <v>0</v>
      </c>
      <c r="M762" s="84">
        <f t="shared" si="135"/>
        <v>0</v>
      </c>
      <c r="N762" s="84">
        <f t="shared" si="136"/>
        <v>0</v>
      </c>
    </row>
    <row r="763" spans="1:14" x14ac:dyDescent="0.25">
      <c r="A763" s="151"/>
      <c r="B763" s="64"/>
      <c r="C763" s="64"/>
      <c r="D763" s="64"/>
      <c r="E763" s="64"/>
      <c r="F763" s="71" t="s">
        <v>573</v>
      </c>
      <c r="G763" s="64">
        <v>4216</v>
      </c>
      <c r="H763" s="21">
        <v>0</v>
      </c>
      <c r="I763" s="21">
        <f t="shared" si="132"/>
        <v>0</v>
      </c>
      <c r="J763" s="21"/>
      <c r="K763" s="84">
        <f t="shared" si="133"/>
        <v>0</v>
      </c>
      <c r="L763" s="84">
        <f t="shared" si="134"/>
        <v>0</v>
      </c>
      <c r="M763" s="84">
        <f t="shared" si="135"/>
        <v>0</v>
      </c>
      <c r="N763" s="84">
        <f t="shared" si="136"/>
        <v>0</v>
      </c>
    </row>
    <row r="764" spans="1:14" x14ac:dyDescent="0.25">
      <c r="A764" s="151"/>
      <c r="B764" s="64"/>
      <c r="C764" s="64"/>
      <c r="D764" s="64"/>
      <c r="E764" s="64"/>
      <c r="F764" s="72" t="s">
        <v>413</v>
      </c>
      <c r="G764" s="64">
        <v>4261</v>
      </c>
      <c r="H764" s="21">
        <v>0</v>
      </c>
      <c r="I764" s="21">
        <f t="shared" si="132"/>
        <v>0</v>
      </c>
      <c r="J764" s="21"/>
      <c r="K764" s="84">
        <f t="shared" si="133"/>
        <v>0</v>
      </c>
      <c r="L764" s="84">
        <f t="shared" si="134"/>
        <v>0</v>
      </c>
      <c r="M764" s="84">
        <f t="shared" si="135"/>
        <v>0</v>
      </c>
      <c r="N764" s="84">
        <f t="shared" si="136"/>
        <v>0</v>
      </c>
    </row>
    <row r="765" spans="1:14" ht="55.5" customHeight="1" x14ac:dyDescent="0.25">
      <c r="A765" s="151"/>
      <c r="B765" s="64"/>
      <c r="C765" s="64"/>
      <c r="D765" s="64"/>
      <c r="E765" s="64"/>
      <c r="F765" s="71" t="s">
        <v>557</v>
      </c>
      <c r="G765" s="64" t="s">
        <v>748</v>
      </c>
      <c r="H765" s="21">
        <v>0</v>
      </c>
      <c r="I765" s="21">
        <f t="shared" si="132"/>
        <v>0</v>
      </c>
      <c r="J765" s="21"/>
      <c r="K765" s="84">
        <f t="shared" si="133"/>
        <v>0</v>
      </c>
      <c r="L765" s="84">
        <f t="shared" si="134"/>
        <v>0</v>
      </c>
      <c r="M765" s="84">
        <f t="shared" si="135"/>
        <v>0</v>
      </c>
      <c r="N765" s="84">
        <f t="shared" si="136"/>
        <v>0</v>
      </c>
    </row>
    <row r="766" spans="1:14" ht="54" customHeight="1" x14ac:dyDescent="0.25">
      <c r="A766" s="151"/>
      <c r="B766" s="64"/>
      <c r="C766" s="64"/>
      <c r="D766" s="64"/>
      <c r="E766" s="64"/>
      <c r="F766" s="71" t="s">
        <v>574</v>
      </c>
      <c r="G766" s="64">
        <v>4264</v>
      </c>
      <c r="H766" s="21">
        <v>0</v>
      </c>
      <c r="I766" s="21">
        <f t="shared" si="132"/>
        <v>0</v>
      </c>
      <c r="J766" s="21"/>
      <c r="K766" s="84">
        <f t="shared" si="133"/>
        <v>0</v>
      </c>
      <c r="L766" s="84">
        <f t="shared" si="134"/>
        <v>0</v>
      </c>
      <c r="M766" s="84">
        <f t="shared" si="135"/>
        <v>0</v>
      </c>
      <c r="N766" s="84">
        <f t="shared" si="136"/>
        <v>0</v>
      </c>
    </row>
    <row r="767" spans="1:14" ht="40.5" x14ac:dyDescent="0.25">
      <c r="A767" s="151"/>
      <c r="B767" s="64">
        <v>3092</v>
      </c>
      <c r="C767" s="64" t="s">
        <v>15</v>
      </c>
      <c r="D767" s="64">
        <v>9</v>
      </c>
      <c r="E767" s="64">
        <v>2</v>
      </c>
      <c r="F767" s="71" t="s">
        <v>362</v>
      </c>
      <c r="G767" s="64"/>
      <c r="H767" s="21"/>
      <c r="I767" s="21"/>
      <c r="J767" s="21"/>
      <c r="K767" s="21"/>
      <c r="L767" s="21"/>
      <c r="M767" s="21"/>
      <c r="N767" s="21"/>
    </row>
    <row r="768" spans="1:14" ht="40.5" x14ac:dyDescent="0.25">
      <c r="A768" s="151"/>
      <c r="B768" s="64"/>
      <c r="C768" s="64"/>
      <c r="D768" s="64"/>
      <c r="E768" s="64"/>
      <c r="F768" s="71" t="s">
        <v>177</v>
      </c>
      <c r="G768" s="64"/>
      <c r="H768" s="21"/>
      <c r="I768" s="21"/>
      <c r="J768" s="21"/>
      <c r="K768" s="21"/>
      <c r="L768" s="21"/>
      <c r="M768" s="21"/>
      <c r="N768" s="21"/>
    </row>
    <row r="769" spans="1:14" x14ac:dyDescent="0.25">
      <c r="A769" s="151"/>
      <c r="B769" s="64"/>
      <c r="C769" s="64"/>
      <c r="D769" s="64"/>
      <c r="E769" s="64"/>
      <c r="F769" s="212"/>
      <c r="G769" s="64"/>
      <c r="H769" s="21"/>
      <c r="I769" s="21"/>
      <c r="J769" s="21"/>
      <c r="K769" s="21"/>
      <c r="L769" s="21"/>
      <c r="M769" s="21"/>
      <c r="N769" s="21"/>
    </row>
    <row r="770" spans="1:14" ht="46.5" customHeight="1" x14ac:dyDescent="0.25">
      <c r="A770" s="151"/>
      <c r="B770" s="64"/>
      <c r="C770" s="64"/>
      <c r="D770" s="64"/>
      <c r="E770" s="64"/>
      <c r="F770" s="212"/>
      <c r="G770" s="64"/>
      <c r="H770" s="21"/>
      <c r="I770" s="21"/>
      <c r="J770" s="21"/>
      <c r="K770" s="21"/>
      <c r="L770" s="21"/>
      <c r="M770" s="21"/>
      <c r="N770" s="21"/>
    </row>
    <row r="771" spans="1:14" x14ac:dyDescent="0.25">
      <c r="A771" s="151"/>
      <c r="B771" s="64"/>
      <c r="C771" s="64"/>
      <c r="D771" s="64"/>
      <c r="E771" s="64"/>
      <c r="F771" s="71" t="s">
        <v>178</v>
      </c>
      <c r="G771" s="64"/>
      <c r="H771" s="21"/>
      <c r="I771" s="21"/>
      <c r="J771" s="21"/>
      <c r="K771" s="21"/>
      <c r="L771" s="21"/>
      <c r="M771" s="21"/>
      <c r="N771" s="21"/>
    </row>
    <row r="772" spans="1:14" ht="27" x14ac:dyDescent="0.25">
      <c r="A772" s="151"/>
      <c r="B772" s="64">
        <v>3100</v>
      </c>
      <c r="C772" s="64" t="s">
        <v>16</v>
      </c>
      <c r="D772" s="64">
        <v>0</v>
      </c>
      <c r="E772" s="64">
        <v>0</v>
      </c>
      <c r="F772" s="74" t="s">
        <v>363</v>
      </c>
      <c r="G772" s="64"/>
      <c r="H772" s="21"/>
      <c r="I772" s="21">
        <f t="shared" ref="I772:N772" si="137">+I774</f>
        <v>925983</v>
      </c>
      <c r="J772" s="21">
        <f t="shared" si="137"/>
        <v>925983</v>
      </c>
      <c r="K772" s="21">
        <f t="shared" si="137"/>
        <v>345364</v>
      </c>
      <c r="L772" s="21">
        <f t="shared" si="137"/>
        <v>532603</v>
      </c>
      <c r="M772" s="21">
        <f t="shared" si="137"/>
        <v>726707</v>
      </c>
      <c r="N772" s="21">
        <f t="shared" si="137"/>
        <v>925983</v>
      </c>
    </row>
    <row r="773" spans="1:14" x14ac:dyDescent="0.25">
      <c r="A773" s="151"/>
      <c r="B773" s="64"/>
      <c r="C773" s="64"/>
      <c r="D773" s="64"/>
      <c r="E773" s="64"/>
      <c r="F773" s="71" t="s">
        <v>154</v>
      </c>
      <c r="G773" s="64"/>
      <c r="H773" s="21"/>
      <c r="I773" s="21"/>
      <c r="J773" s="21"/>
      <c r="K773" s="21"/>
      <c r="L773" s="21"/>
      <c r="M773" s="21"/>
      <c r="N773" s="21"/>
    </row>
    <row r="774" spans="1:14" ht="55.5" customHeight="1" x14ac:dyDescent="0.25">
      <c r="A774" s="151"/>
      <c r="B774" s="64">
        <v>3112</v>
      </c>
      <c r="C774" s="64" t="s">
        <v>16</v>
      </c>
      <c r="D774" s="64">
        <v>1</v>
      </c>
      <c r="E774" s="64">
        <v>2</v>
      </c>
      <c r="F774" s="74" t="s">
        <v>364</v>
      </c>
      <c r="G774" s="64"/>
      <c r="H774" s="21"/>
      <c r="I774" s="21">
        <f t="shared" ref="I774:N774" si="138">+I777</f>
        <v>925983</v>
      </c>
      <c r="J774" s="21">
        <f t="shared" si="138"/>
        <v>925983</v>
      </c>
      <c r="K774" s="21">
        <f t="shared" si="138"/>
        <v>345364</v>
      </c>
      <c r="L774" s="21">
        <f t="shared" si="138"/>
        <v>532603</v>
      </c>
      <c r="M774" s="21">
        <f t="shared" si="138"/>
        <v>726707</v>
      </c>
      <c r="N774" s="21">
        <f t="shared" si="138"/>
        <v>925983</v>
      </c>
    </row>
    <row r="775" spans="1:14" x14ac:dyDescent="0.25">
      <c r="A775" s="151"/>
      <c r="B775" s="64"/>
      <c r="C775" s="64"/>
      <c r="D775" s="64"/>
      <c r="E775" s="64"/>
      <c r="F775" s="71" t="s">
        <v>156</v>
      </c>
      <c r="G775" s="64"/>
      <c r="H775" s="21"/>
      <c r="I775" s="21"/>
      <c r="J775" s="21"/>
      <c r="K775" s="21"/>
      <c r="L775" s="21"/>
      <c r="M775" s="21"/>
      <c r="N775" s="21"/>
    </row>
    <row r="776" spans="1:14" ht="40.5" x14ac:dyDescent="0.25">
      <c r="A776" s="151"/>
      <c r="B776" s="64"/>
      <c r="C776" s="64"/>
      <c r="D776" s="64"/>
      <c r="E776" s="64"/>
      <c r="F776" s="71" t="s">
        <v>177</v>
      </c>
      <c r="G776" s="64"/>
      <c r="H776" s="21"/>
      <c r="I776" s="21"/>
      <c r="J776" s="21"/>
      <c r="K776" s="21"/>
      <c r="L776" s="21"/>
      <c r="M776" s="21"/>
      <c r="N776" s="21"/>
    </row>
    <row r="777" spans="1:14" x14ac:dyDescent="0.25">
      <c r="A777" s="151"/>
      <c r="B777" s="64"/>
      <c r="C777" s="64"/>
      <c r="D777" s="64"/>
      <c r="E777" s="64"/>
      <c r="F777" s="71" t="s">
        <v>569</v>
      </c>
      <c r="G777" s="64">
        <v>4891</v>
      </c>
      <c r="H777" s="21"/>
      <c r="I777" s="21">
        <v>925983</v>
      </c>
      <c r="J777" s="21">
        <f>+I777</f>
        <v>925983</v>
      </c>
      <c r="K777" s="21">
        <v>345364</v>
      </c>
      <c r="L777" s="21">
        <v>532603</v>
      </c>
      <c r="M777" s="21">
        <v>726707</v>
      </c>
      <c r="N777" s="21">
        <f>+J777</f>
        <v>925983</v>
      </c>
    </row>
    <row r="778" spans="1:14" x14ac:dyDescent="0.25">
      <c r="J778" s="151"/>
    </row>
    <row r="780" spans="1:14" x14ac:dyDescent="0.25">
      <c r="H780" s="213"/>
      <c r="J780" s="151"/>
      <c r="K780" s="151"/>
      <c r="L780" s="151"/>
      <c r="M780" s="151"/>
    </row>
    <row r="781" spans="1:14" x14ac:dyDescent="0.25">
      <c r="J781" s="151"/>
      <c r="K781" s="151"/>
      <c r="L781" s="151"/>
      <c r="M781" s="151"/>
      <c r="N781" s="151"/>
    </row>
    <row r="782" spans="1:14" x14ac:dyDescent="0.25">
      <c r="J782" s="151"/>
      <c r="K782" s="151"/>
      <c r="L782" s="151"/>
      <c r="M782" s="151"/>
    </row>
    <row r="783" spans="1:14" x14ac:dyDescent="0.25">
      <c r="J783" s="151"/>
      <c r="K783" s="151"/>
      <c r="L783" s="151"/>
      <c r="M783" s="151"/>
    </row>
    <row r="784" spans="1:14" x14ac:dyDescent="0.25">
      <c r="H784" s="151"/>
      <c r="I784" s="151"/>
      <c r="J784" s="151"/>
      <c r="K784" s="151"/>
      <c r="L784" s="151"/>
      <c r="M784" s="151"/>
      <c r="N784" s="151"/>
    </row>
    <row r="785" spans="11:13" x14ac:dyDescent="0.25">
      <c r="K785" s="151"/>
      <c r="L785" s="151"/>
      <c r="M785" s="151"/>
    </row>
  </sheetData>
  <protectedRanges>
    <protectedRange sqref="K759:N759 N760:N766 N77:N83 K559:N559 K632:N634 K740:N741 K76:N76 K156:N157 K587:N587 K746:N746 K109:N109" name="Range1"/>
    <protectedRange sqref="K77:M83 K760:M766" name="Range1_3"/>
    <protectedRange sqref="I722 I728" name="Range22"/>
    <protectedRange sqref="I37 I40" name="Range2_1"/>
    <protectedRange sqref="J590 I588:I589" name="Range17"/>
    <protectedRange sqref="I739" name="Range23"/>
    <protectedRange sqref="J722 J728" name="Range22_1"/>
    <protectedRange sqref="I690:J690" name="Range20_1"/>
    <protectedRange sqref="I631:J631" name="Range18_1"/>
    <protectedRange sqref="I403:J405 I396:I402" name="Range12_1"/>
    <protectedRange sqref="I42:J42 I17:J17 I19:J36" name="Range2_1_1"/>
    <protectedRange sqref="I94:J95 I105:J105 I101 I102:J102 I108:J109" name="Range3_1"/>
    <protectedRange sqref="I158:J158 I154:I156" name="Range5_1"/>
    <protectedRange sqref="I366:J367" name="Range11_1"/>
    <protectedRange sqref="I431 I432:J436 I460:J461 I447:J453 I457:J457 I406 I455:J455 J454" name="Range13_1"/>
    <protectedRange sqref="I591:J591 J588:J589 I590 I562:I563 I569:J569 I568 I613:J613 I611:J611 I565:J565" name="Range17_1"/>
    <protectedRange sqref="I747:J749 J739" name="Range23_1"/>
    <protectedRange sqref="I640" name="Range17_2"/>
  </protectedRanges>
  <mergeCells count="12">
    <mergeCell ref="K4:N4"/>
    <mergeCell ref="B8:B9"/>
    <mergeCell ref="C8:C9"/>
    <mergeCell ref="E8:E9"/>
    <mergeCell ref="F8:F9"/>
    <mergeCell ref="B7:N7"/>
    <mergeCell ref="K8:N8"/>
    <mergeCell ref="G8:G9"/>
    <mergeCell ref="D8:D9"/>
    <mergeCell ref="H8:H9"/>
    <mergeCell ref="K2:N2"/>
    <mergeCell ref="K3:N3"/>
  </mergeCells>
  <pageMargins left="0.59055118110236227" right="0" top="0.23622047244094491" bottom="0.23622047244094491" header="0" footer="0"/>
  <pageSetup paperSize="9" scale="61" firstPageNumber="99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6"/>
  <sheetViews>
    <sheetView view="pageBreakPreview" zoomScale="90" zoomScaleNormal="100" zoomScaleSheetLayoutView="90" workbookViewId="0">
      <selection activeCell="F4" sqref="F4:I4"/>
    </sheetView>
  </sheetViews>
  <sheetFormatPr defaultRowHeight="12.75" x14ac:dyDescent="0.2"/>
  <cols>
    <col min="1" max="1" width="5" style="94" customWidth="1"/>
    <col min="2" max="2" width="36.42578125" style="94" customWidth="1"/>
    <col min="3" max="3" width="13.42578125" style="94" customWidth="1"/>
    <col min="4" max="4" width="10.5703125" style="94" customWidth="1"/>
    <col min="5" max="5" width="13.85546875" style="94" customWidth="1"/>
    <col min="6" max="9" width="13.42578125" style="94" customWidth="1"/>
    <col min="10" max="16384" width="9.140625" style="94"/>
  </cols>
  <sheetData>
    <row r="1" spans="1:9" s="90" customFormat="1" ht="13.5" customHeight="1" x14ac:dyDescent="0.25">
      <c r="A1" s="92"/>
      <c r="C1" s="92"/>
      <c r="D1" s="138"/>
      <c r="E1" s="139"/>
      <c r="G1" s="92"/>
      <c r="H1" s="92"/>
      <c r="I1" s="92" t="s">
        <v>864</v>
      </c>
    </row>
    <row r="2" spans="1:9" s="90" customFormat="1" ht="13.5" customHeight="1" x14ac:dyDescent="0.25">
      <c r="A2" s="92"/>
      <c r="C2" s="92"/>
      <c r="D2" s="138"/>
      <c r="E2" s="139"/>
      <c r="F2" s="239" t="s">
        <v>601</v>
      </c>
      <c r="G2" s="239"/>
      <c r="H2" s="239"/>
      <c r="I2" s="239"/>
    </row>
    <row r="3" spans="1:9" s="90" customFormat="1" ht="13.5" customHeight="1" x14ac:dyDescent="0.25">
      <c r="A3" s="92"/>
      <c r="C3" s="92"/>
      <c r="D3" s="138"/>
      <c r="E3" s="139"/>
      <c r="F3" s="239" t="s">
        <v>863</v>
      </c>
      <c r="G3" s="239"/>
      <c r="H3" s="239"/>
      <c r="I3" s="239"/>
    </row>
    <row r="4" spans="1:9" s="90" customFormat="1" ht="13.5" customHeight="1" x14ac:dyDescent="0.25">
      <c r="A4" s="92"/>
      <c r="C4" s="92"/>
      <c r="D4" s="138"/>
      <c r="E4" s="139"/>
      <c r="F4" s="239" t="s">
        <v>865</v>
      </c>
      <c r="G4" s="239"/>
      <c r="H4" s="239"/>
      <c r="I4" s="239"/>
    </row>
    <row r="5" spans="1:9" ht="13.5" x14ac:dyDescent="0.25">
      <c r="E5" s="256"/>
      <c r="F5" s="256"/>
      <c r="G5" s="256"/>
      <c r="H5" s="256"/>
      <c r="I5" s="256"/>
    </row>
    <row r="6" spans="1:9" ht="16.5" x14ac:dyDescent="0.3">
      <c r="A6" s="257" t="s">
        <v>756</v>
      </c>
      <c r="B6" s="257"/>
      <c r="C6" s="257"/>
      <c r="D6" s="257"/>
      <c r="E6" s="257"/>
      <c r="F6" s="257"/>
      <c r="G6" s="257"/>
      <c r="H6" s="257"/>
      <c r="I6" s="257"/>
    </row>
    <row r="7" spans="1:9" ht="42" customHeight="1" x14ac:dyDescent="0.2">
      <c r="A7" s="258" t="s">
        <v>757</v>
      </c>
      <c r="B7" s="258"/>
      <c r="C7" s="258"/>
      <c r="D7" s="258"/>
      <c r="E7" s="258"/>
      <c r="F7" s="258"/>
      <c r="G7" s="258"/>
      <c r="H7" s="258"/>
      <c r="I7" s="258"/>
    </row>
    <row r="8" spans="1:9" ht="30" customHeight="1" thickBot="1" x14ac:dyDescent="0.35">
      <c r="A8" s="2"/>
      <c r="B8" s="96"/>
      <c r="C8" s="96"/>
      <c r="D8" s="259" t="s">
        <v>753</v>
      </c>
      <c r="E8" s="259"/>
    </row>
    <row r="9" spans="1:9" ht="13.5" customHeight="1" thickBot="1" x14ac:dyDescent="0.35">
      <c r="A9" s="260" t="s">
        <v>758</v>
      </c>
      <c r="B9" s="263"/>
      <c r="C9" s="266" t="s">
        <v>697</v>
      </c>
      <c r="D9" s="266"/>
      <c r="E9" s="267"/>
      <c r="F9" s="268" t="s">
        <v>368</v>
      </c>
      <c r="G9" s="269"/>
      <c r="H9" s="269"/>
      <c r="I9" s="270"/>
    </row>
    <row r="10" spans="1:9" ht="30" customHeight="1" thickBot="1" x14ac:dyDescent="0.35">
      <c r="A10" s="261"/>
      <c r="B10" s="264"/>
      <c r="C10" s="98" t="s">
        <v>366</v>
      </c>
      <c r="D10" s="271" t="s">
        <v>759</v>
      </c>
      <c r="E10" s="267"/>
      <c r="F10" s="99" t="s">
        <v>187</v>
      </c>
      <c r="G10" s="99" t="s">
        <v>188</v>
      </c>
      <c r="H10" s="99" t="s">
        <v>189</v>
      </c>
      <c r="I10" s="99" t="s">
        <v>190</v>
      </c>
    </row>
    <row r="11" spans="1:9" ht="39.75" customHeight="1" thickBot="1" x14ac:dyDescent="0.35">
      <c r="A11" s="262"/>
      <c r="B11" s="265"/>
      <c r="C11" s="101" t="s">
        <v>760</v>
      </c>
      <c r="D11" s="102" t="s">
        <v>150</v>
      </c>
      <c r="E11" s="102" t="s">
        <v>151</v>
      </c>
      <c r="F11" s="97">
        <v>7</v>
      </c>
      <c r="G11" s="69">
        <v>8</v>
      </c>
      <c r="H11" s="69">
        <v>9</v>
      </c>
      <c r="I11" s="69">
        <v>10</v>
      </c>
    </row>
    <row r="12" spans="1:9" ht="20.25" customHeight="1" thickBot="1" x14ac:dyDescent="0.3">
      <c r="A12" s="103">
        <v>1</v>
      </c>
      <c r="B12" s="103">
        <v>2</v>
      </c>
      <c r="C12" s="100">
        <v>3</v>
      </c>
      <c r="D12" s="104">
        <v>4</v>
      </c>
      <c r="E12" s="105">
        <v>5</v>
      </c>
      <c r="F12" s="12"/>
      <c r="G12" s="12"/>
      <c r="H12" s="12"/>
      <c r="I12" s="12"/>
    </row>
    <row r="13" spans="1:9" ht="41.25" customHeight="1" thickBot="1" x14ac:dyDescent="0.25">
      <c r="A13" s="219">
        <v>8000</v>
      </c>
      <c r="B13" s="220" t="s">
        <v>761</v>
      </c>
      <c r="C13" s="106">
        <f>+'1. Ekamutner'!D12-'4.Gorcarakan ev tntesagitakan'!H11</f>
        <v>-1334167.5008000005</v>
      </c>
      <c r="D13" s="106">
        <f>+'1. Ekamutner'!E12-'4.Gorcarakan ev tntesagitakan'!I11</f>
        <v>-70561.320999999531</v>
      </c>
      <c r="E13" s="106">
        <f>+'1. Ekamutner'!F12-'4.Gorcarakan ev tntesagitakan'!J11</f>
        <v>-1263606.1797999998</v>
      </c>
      <c r="F13" s="106">
        <f>+'1. Ekamutner'!G12-'4.Gorcarakan ev tntesagitakan'!K11</f>
        <v>-1334167.500800001</v>
      </c>
      <c r="G13" s="106">
        <f>+'1. Ekamutner'!H12-'4.Gorcarakan ev tntesagitakan'!L11</f>
        <v>-1334167.5007999996</v>
      </c>
      <c r="H13" s="106">
        <f>+'1. Ekamutner'!I12-'4.Gorcarakan ev tntesagitakan'!M11</f>
        <v>-1334167.5008000033</v>
      </c>
      <c r="I13" s="106">
        <f>+'1. Ekamutner'!J12-'4.Gorcarakan ev tntesagitakan'!N11</f>
        <v>-1334167.5008000005</v>
      </c>
    </row>
    <row r="18" spans="2:5" x14ac:dyDescent="0.2">
      <c r="B18" s="107"/>
      <c r="C18" s="108"/>
      <c r="D18" s="108"/>
      <c r="E18" s="108"/>
    </row>
    <row r="19" spans="2:5" x14ac:dyDescent="0.2">
      <c r="B19" s="107"/>
      <c r="C19" s="108"/>
      <c r="D19" s="108"/>
      <c r="E19" s="108"/>
    </row>
    <row r="20" spans="2:5" x14ac:dyDescent="0.2">
      <c r="B20" s="107"/>
      <c r="C20" s="108"/>
      <c r="D20" s="108"/>
      <c r="E20" s="108"/>
    </row>
    <row r="21" spans="2:5" x14ac:dyDescent="0.2">
      <c r="B21" s="109"/>
      <c r="C21" s="110"/>
      <c r="D21" s="110"/>
      <c r="E21" s="110"/>
    </row>
    <row r="22" spans="2:5" x14ac:dyDescent="0.2">
      <c r="B22" s="109"/>
      <c r="C22" s="110"/>
      <c r="D22" s="110"/>
      <c r="E22" s="110"/>
    </row>
    <row r="23" spans="2:5" x14ac:dyDescent="0.2">
      <c r="B23" s="109"/>
      <c r="C23" s="110"/>
      <c r="D23" s="110"/>
      <c r="E23" s="110"/>
    </row>
    <row r="37" spans="1:2" x14ac:dyDescent="0.2">
      <c r="A37" s="111"/>
      <c r="B37" s="112"/>
    </row>
    <row r="38" spans="1:2" x14ac:dyDescent="0.2">
      <c r="A38" s="111"/>
      <c r="B38" s="113"/>
    </row>
    <row r="39" spans="1:2" x14ac:dyDescent="0.2">
      <c r="A39" s="111"/>
      <c r="B39" s="112"/>
    </row>
    <row r="40" spans="1:2" x14ac:dyDescent="0.2">
      <c r="A40" s="111"/>
      <c r="B40" s="112"/>
    </row>
    <row r="41" spans="1:2" x14ac:dyDescent="0.2">
      <c r="A41" s="111"/>
      <c r="B41" s="112"/>
    </row>
    <row r="42" spans="1:2" x14ac:dyDescent="0.2">
      <c r="A42" s="111"/>
      <c r="B42" s="112"/>
    </row>
    <row r="43" spans="1:2" x14ac:dyDescent="0.2">
      <c r="B43" s="112"/>
    </row>
    <row r="44" spans="1:2" x14ac:dyDescent="0.2">
      <c r="B44" s="112"/>
    </row>
    <row r="45" spans="1:2" x14ac:dyDescent="0.2">
      <c r="B45" s="112"/>
    </row>
    <row r="46" spans="1:2" x14ac:dyDescent="0.2">
      <c r="B46" s="112"/>
    </row>
    <row r="47" spans="1:2" x14ac:dyDescent="0.2">
      <c r="B47" s="112"/>
    </row>
    <row r="48" spans="1:2" x14ac:dyDescent="0.2">
      <c r="B48" s="112"/>
    </row>
    <row r="49" spans="2:2" x14ac:dyDescent="0.2">
      <c r="B49" s="112"/>
    </row>
    <row r="50" spans="2:2" x14ac:dyDescent="0.2">
      <c r="B50" s="112"/>
    </row>
    <row r="51" spans="2:2" x14ac:dyDescent="0.2">
      <c r="B51" s="112"/>
    </row>
    <row r="52" spans="2:2" x14ac:dyDescent="0.2">
      <c r="B52" s="112"/>
    </row>
    <row r="53" spans="2:2" x14ac:dyDescent="0.2">
      <c r="B53" s="112"/>
    </row>
    <row r="54" spans="2:2" x14ac:dyDescent="0.2">
      <c r="B54" s="112"/>
    </row>
    <row r="55" spans="2:2" x14ac:dyDescent="0.2">
      <c r="B55" s="112"/>
    </row>
    <row r="56" spans="2:2" x14ac:dyDescent="0.2">
      <c r="B56" s="112"/>
    </row>
    <row r="57" spans="2:2" x14ac:dyDescent="0.2">
      <c r="B57" s="112"/>
    </row>
    <row r="58" spans="2:2" x14ac:dyDescent="0.2">
      <c r="B58" s="112"/>
    </row>
    <row r="59" spans="2:2" x14ac:dyDescent="0.2">
      <c r="B59" s="112"/>
    </row>
    <row r="60" spans="2:2" x14ac:dyDescent="0.2">
      <c r="B60" s="112"/>
    </row>
    <row r="61" spans="2:2" x14ac:dyDescent="0.2">
      <c r="B61" s="112"/>
    </row>
    <row r="62" spans="2:2" x14ac:dyDescent="0.2">
      <c r="B62" s="112"/>
    </row>
    <row r="63" spans="2:2" x14ac:dyDescent="0.2">
      <c r="B63" s="112"/>
    </row>
    <row r="64" spans="2:2" x14ac:dyDescent="0.2">
      <c r="B64" s="112"/>
    </row>
    <row r="65" spans="2:2" x14ac:dyDescent="0.2">
      <c r="B65" s="112"/>
    </row>
    <row r="66" spans="2:2" x14ac:dyDescent="0.2">
      <c r="B66" s="112"/>
    </row>
    <row r="67" spans="2:2" x14ac:dyDescent="0.2">
      <c r="B67" s="112"/>
    </row>
    <row r="68" spans="2:2" x14ac:dyDescent="0.2">
      <c r="B68" s="112"/>
    </row>
    <row r="69" spans="2:2" x14ac:dyDescent="0.2">
      <c r="B69" s="112"/>
    </row>
    <row r="70" spans="2:2" x14ac:dyDescent="0.2">
      <c r="B70" s="112"/>
    </row>
    <row r="71" spans="2:2" x14ac:dyDescent="0.2">
      <c r="B71" s="112"/>
    </row>
    <row r="72" spans="2:2" x14ac:dyDescent="0.2">
      <c r="B72" s="112"/>
    </row>
    <row r="73" spans="2:2" x14ac:dyDescent="0.2">
      <c r="B73" s="112"/>
    </row>
    <row r="74" spans="2:2" x14ac:dyDescent="0.2">
      <c r="B74" s="112"/>
    </row>
    <row r="75" spans="2:2" x14ac:dyDescent="0.2">
      <c r="B75" s="112"/>
    </row>
    <row r="76" spans="2:2" x14ac:dyDescent="0.2">
      <c r="B76" s="112"/>
    </row>
    <row r="77" spans="2:2" x14ac:dyDescent="0.2">
      <c r="B77" s="112"/>
    </row>
    <row r="78" spans="2:2" x14ac:dyDescent="0.2">
      <c r="B78" s="112"/>
    </row>
    <row r="79" spans="2:2" x14ac:dyDescent="0.2">
      <c r="B79" s="112"/>
    </row>
    <row r="80" spans="2:2" x14ac:dyDescent="0.2">
      <c r="B80" s="112"/>
    </row>
    <row r="81" spans="2:2" x14ac:dyDescent="0.2">
      <c r="B81" s="112"/>
    </row>
    <row r="82" spans="2:2" x14ac:dyDescent="0.2">
      <c r="B82" s="112"/>
    </row>
    <row r="83" spans="2:2" x14ac:dyDescent="0.2">
      <c r="B83" s="112"/>
    </row>
    <row r="84" spans="2:2" x14ac:dyDescent="0.2">
      <c r="B84" s="112"/>
    </row>
    <row r="85" spans="2:2" x14ac:dyDescent="0.2">
      <c r="B85" s="112"/>
    </row>
    <row r="86" spans="2:2" x14ac:dyDescent="0.2">
      <c r="B86" s="112"/>
    </row>
    <row r="87" spans="2:2" x14ac:dyDescent="0.2">
      <c r="B87" s="112"/>
    </row>
    <row r="88" spans="2:2" x14ac:dyDescent="0.2">
      <c r="B88" s="112"/>
    </row>
    <row r="89" spans="2:2" x14ac:dyDescent="0.2">
      <c r="B89" s="112"/>
    </row>
    <row r="90" spans="2:2" x14ac:dyDescent="0.2">
      <c r="B90" s="112"/>
    </row>
    <row r="91" spans="2:2" x14ac:dyDescent="0.2">
      <c r="B91" s="112"/>
    </row>
    <row r="92" spans="2:2" x14ac:dyDescent="0.2">
      <c r="B92" s="112"/>
    </row>
    <row r="93" spans="2:2" x14ac:dyDescent="0.2">
      <c r="B93" s="112"/>
    </row>
    <row r="94" spans="2:2" x14ac:dyDescent="0.2">
      <c r="B94" s="112"/>
    </row>
    <row r="95" spans="2:2" x14ac:dyDescent="0.2">
      <c r="B95" s="112"/>
    </row>
    <row r="96" spans="2:2" x14ac:dyDescent="0.2">
      <c r="B96" s="112"/>
    </row>
    <row r="97" spans="2:2" x14ac:dyDescent="0.2">
      <c r="B97" s="112"/>
    </row>
    <row r="98" spans="2:2" x14ac:dyDescent="0.2">
      <c r="B98" s="112"/>
    </row>
    <row r="99" spans="2:2" x14ac:dyDescent="0.2">
      <c r="B99" s="112"/>
    </row>
    <row r="100" spans="2:2" x14ac:dyDescent="0.2">
      <c r="B100" s="112"/>
    </row>
    <row r="101" spans="2:2" x14ac:dyDescent="0.2">
      <c r="B101" s="112"/>
    </row>
    <row r="102" spans="2:2" x14ac:dyDescent="0.2">
      <c r="B102" s="112"/>
    </row>
    <row r="103" spans="2:2" x14ac:dyDescent="0.2">
      <c r="B103" s="112"/>
    </row>
    <row r="104" spans="2:2" x14ac:dyDescent="0.2">
      <c r="B104" s="112"/>
    </row>
    <row r="105" spans="2:2" x14ac:dyDescent="0.2">
      <c r="B105" s="112"/>
    </row>
    <row r="106" spans="2:2" x14ac:dyDescent="0.2">
      <c r="B106" s="112"/>
    </row>
    <row r="107" spans="2:2" x14ac:dyDescent="0.2">
      <c r="B107" s="112"/>
    </row>
    <row r="108" spans="2:2" x14ac:dyDescent="0.2">
      <c r="B108" s="112"/>
    </row>
    <row r="109" spans="2:2" x14ac:dyDescent="0.2">
      <c r="B109" s="112"/>
    </row>
    <row r="110" spans="2:2" x14ac:dyDescent="0.2">
      <c r="B110" s="112"/>
    </row>
    <row r="111" spans="2:2" x14ac:dyDescent="0.2">
      <c r="B111" s="112"/>
    </row>
    <row r="112" spans="2:2" x14ac:dyDescent="0.2">
      <c r="B112" s="112"/>
    </row>
    <row r="113" spans="2:2" x14ac:dyDescent="0.2">
      <c r="B113" s="112"/>
    </row>
    <row r="114" spans="2:2" x14ac:dyDescent="0.2">
      <c r="B114" s="112"/>
    </row>
    <row r="115" spans="2:2" x14ac:dyDescent="0.2">
      <c r="B115" s="112"/>
    </row>
    <row r="116" spans="2:2" x14ac:dyDescent="0.2">
      <c r="B116" s="112"/>
    </row>
    <row r="117" spans="2:2" x14ac:dyDescent="0.2">
      <c r="B117" s="112"/>
    </row>
    <row r="118" spans="2:2" x14ac:dyDescent="0.2">
      <c r="B118" s="112"/>
    </row>
    <row r="119" spans="2:2" x14ac:dyDescent="0.2">
      <c r="B119" s="112"/>
    </row>
    <row r="120" spans="2:2" x14ac:dyDescent="0.2">
      <c r="B120" s="112"/>
    </row>
    <row r="121" spans="2:2" x14ac:dyDescent="0.2">
      <c r="B121" s="112"/>
    </row>
    <row r="122" spans="2:2" x14ac:dyDescent="0.2">
      <c r="B122" s="112"/>
    </row>
    <row r="123" spans="2:2" x14ac:dyDescent="0.2">
      <c r="B123" s="112"/>
    </row>
    <row r="124" spans="2:2" x14ac:dyDescent="0.2">
      <c r="B124" s="112"/>
    </row>
    <row r="125" spans="2:2" x14ac:dyDescent="0.2">
      <c r="B125" s="112"/>
    </row>
    <row r="126" spans="2:2" x14ac:dyDescent="0.2">
      <c r="B126" s="112"/>
    </row>
    <row r="127" spans="2:2" x14ac:dyDescent="0.2">
      <c r="B127" s="112"/>
    </row>
    <row r="128" spans="2:2" x14ac:dyDescent="0.2">
      <c r="B128" s="112"/>
    </row>
    <row r="129" spans="2:2" x14ac:dyDescent="0.2">
      <c r="B129" s="112"/>
    </row>
    <row r="130" spans="2:2" x14ac:dyDescent="0.2">
      <c r="B130" s="112"/>
    </row>
    <row r="131" spans="2:2" x14ac:dyDescent="0.2">
      <c r="B131" s="112"/>
    </row>
    <row r="132" spans="2:2" x14ac:dyDescent="0.2">
      <c r="B132" s="112"/>
    </row>
    <row r="133" spans="2:2" x14ac:dyDescent="0.2">
      <c r="B133" s="112"/>
    </row>
    <row r="134" spans="2:2" x14ac:dyDescent="0.2">
      <c r="B134" s="112"/>
    </row>
    <row r="135" spans="2:2" x14ac:dyDescent="0.2">
      <c r="B135" s="112"/>
    </row>
    <row r="136" spans="2:2" x14ac:dyDescent="0.2">
      <c r="B136" s="112"/>
    </row>
    <row r="137" spans="2:2" x14ac:dyDescent="0.2">
      <c r="B137" s="112"/>
    </row>
    <row r="138" spans="2:2" x14ac:dyDescent="0.2">
      <c r="B138" s="112"/>
    </row>
    <row r="139" spans="2:2" x14ac:dyDescent="0.2">
      <c r="B139" s="112"/>
    </row>
    <row r="140" spans="2:2" x14ac:dyDescent="0.2">
      <c r="B140" s="112"/>
    </row>
    <row r="141" spans="2:2" x14ac:dyDescent="0.2">
      <c r="B141" s="112"/>
    </row>
    <row r="142" spans="2:2" x14ac:dyDescent="0.2">
      <c r="B142" s="112"/>
    </row>
    <row r="143" spans="2:2" x14ac:dyDescent="0.2">
      <c r="B143" s="112"/>
    </row>
    <row r="144" spans="2:2" x14ac:dyDescent="0.2">
      <c r="B144" s="112"/>
    </row>
    <row r="145" spans="2:2" x14ac:dyDescent="0.2">
      <c r="B145" s="112"/>
    </row>
    <row r="146" spans="2:2" x14ac:dyDescent="0.2">
      <c r="B146" s="112"/>
    </row>
    <row r="147" spans="2:2" x14ac:dyDescent="0.2">
      <c r="B147" s="112"/>
    </row>
    <row r="148" spans="2:2" x14ac:dyDescent="0.2">
      <c r="B148" s="112"/>
    </row>
    <row r="149" spans="2:2" x14ac:dyDescent="0.2">
      <c r="B149" s="112"/>
    </row>
    <row r="150" spans="2:2" x14ac:dyDescent="0.2">
      <c r="B150" s="112"/>
    </row>
    <row r="151" spans="2:2" x14ac:dyDescent="0.2">
      <c r="B151" s="112"/>
    </row>
    <row r="152" spans="2:2" x14ac:dyDescent="0.2">
      <c r="B152" s="112"/>
    </row>
    <row r="153" spans="2:2" x14ac:dyDescent="0.2">
      <c r="B153" s="112"/>
    </row>
    <row r="154" spans="2:2" x14ac:dyDescent="0.2">
      <c r="B154" s="112"/>
    </row>
    <row r="155" spans="2:2" x14ac:dyDescent="0.2">
      <c r="B155" s="112"/>
    </row>
    <row r="156" spans="2:2" x14ac:dyDescent="0.2">
      <c r="B156" s="112"/>
    </row>
    <row r="157" spans="2:2" x14ac:dyDescent="0.2">
      <c r="B157" s="112"/>
    </row>
    <row r="158" spans="2:2" x14ac:dyDescent="0.2">
      <c r="B158" s="112"/>
    </row>
    <row r="159" spans="2:2" x14ac:dyDescent="0.2">
      <c r="B159" s="112"/>
    </row>
    <row r="160" spans="2:2" x14ac:dyDescent="0.2">
      <c r="B160" s="112"/>
    </row>
    <row r="161" spans="2:2" x14ac:dyDescent="0.2">
      <c r="B161" s="112"/>
    </row>
    <row r="162" spans="2:2" x14ac:dyDescent="0.2">
      <c r="B162" s="112"/>
    </row>
    <row r="163" spans="2:2" x14ac:dyDescent="0.2">
      <c r="B163" s="112"/>
    </row>
    <row r="164" spans="2:2" x14ac:dyDescent="0.2">
      <c r="B164" s="112"/>
    </row>
    <row r="165" spans="2:2" x14ac:dyDescent="0.2">
      <c r="B165" s="112"/>
    </row>
    <row r="166" spans="2:2" x14ac:dyDescent="0.2">
      <c r="B166" s="112"/>
    </row>
    <row r="167" spans="2:2" x14ac:dyDescent="0.2">
      <c r="B167" s="112"/>
    </row>
    <row r="168" spans="2:2" x14ac:dyDescent="0.2">
      <c r="B168" s="112"/>
    </row>
    <row r="169" spans="2:2" x14ac:dyDescent="0.2">
      <c r="B169" s="112"/>
    </row>
    <row r="170" spans="2:2" x14ac:dyDescent="0.2">
      <c r="B170" s="112"/>
    </row>
    <row r="171" spans="2:2" x14ac:dyDescent="0.2">
      <c r="B171" s="112"/>
    </row>
    <row r="172" spans="2:2" x14ac:dyDescent="0.2">
      <c r="B172" s="112"/>
    </row>
    <row r="173" spans="2:2" x14ac:dyDescent="0.2">
      <c r="B173" s="112"/>
    </row>
    <row r="174" spans="2:2" x14ac:dyDescent="0.2">
      <c r="B174" s="112"/>
    </row>
    <row r="175" spans="2:2" x14ac:dyDescent="0.2">
      <c r="B175" s="112"/>
    </row>
    <row r="176" spans="2:2" x14ac:dyDescent="0.2">
      <c r="B176" s="112"/>
    </row>
    <row r="177" spans="2:2" x14ac:dyDescent="0.2">
      <c r="B177" s="112"/>
    </row>
    <row r="178" spans="2:2" x14ac:dyDescent="0.2">
      <c r="B178" s="112"/>
    </row>
    <row r="179" spans="2:2" x14ac:dyDescent="0.2">
      <c r="B179" s="112"/>
    </row>
    <row r="180" spans="2:2" x14ac:dyDescent="0.2">
      <c r="B180" s="112"/>
    </row>
    <row r="181" spans="2:2" x14ac:dyDescent="0.2">
      <c r="B181" s="112"/>
    </row>
    <row r="182" spans="2:2" x14ac:dyDescent="0.2">
      <c r="B182" s="112"/>
    </row>
    <row r="183" spans="2:2" x14ac:dyDescent="0.2">
      <c r="B183" s="112"/>
    </row>
    <row r="184" spans="2:2" x14ac:dyDescent="0.2">
      <c r="B184" s="112"/>
    </row>
    <row r="185" spans="2:2" x14ac:dyDescent="0.2">
      <c r="B185" s="112"/>
    </row>
    <row r="186" spans="2:2" x14ac:dyDescent="0.2">
      <c r="B186" s="112"/>
    </row>
    <row r="187" spans="2:2" x14ac:dyDescent="0.2">
      <c r="B187" s="112"/>
    </row>
    <row r="188" spans="2:2" x14ac:dyDescent="0.2">
      <c r="B188" s="112"/>
    </row>
    <row r="189" spans="2:2" x14ac:dyDescent="0.2">
      <c r="B189" s="112"/>
    </row>
    <row r="190" spans="2:2" x14ac:dyDescent="0.2">
      <c r="B190" s="112"/>
    </row>
    <row r="191" spans="2:2" x14ac:dyDescent="0.2">
      <c r="B191" s="112"/>
    </row>
    <row r="192" spans="2:2" x14ac:dyDescent="0.2">
      <c r="B192" s="112"/>
    </row>
    <row r="193" spans="2:2" x14ac:dyDescent="0.2">
      <c r="B193" s="112"/>
    </row>
    <row r="194" spans="2:2" x14ac:dyDescent="0.2">
      <c r="B194" s="112"/>
    </row>
    <row r="195" spans="2:2" x14ac:dyDescent="0.2">
      <c r="B195" s="112"/>
    </row>
    <row r="196" spans="2:2" x14ac:dyDescent="0.2">
      <c r="B196" s="112"/>
    </row>
    <row r="197" spans="2:2" x14ac:dyDescent="0.2">
      <c r="B197" s="112"/>
    </row>
    <row r="198" spans="2:2" x14ac:dyDescent="0.2">
      <c r="B198" s="112"/>
    </row>
    <row r="199" spans="2:2" x14ac:dyDescent="0.2">
      <c r="B199" s="112"/>
    </row>
    <row r="200" spans="2:2" x14ac:dyDescent="0.2">
      <c r="B200" s="112"/>
    </row>
    <row r="201" spans="2:2" x14ac:dyDescent="0.2">
      <c r="B201" s="112"/>
    </row>
    <row r="202" spans="2:2" x14ac:dyDescent="0.2">
      <c r="B202" s="112"/>
    </row>
    <row r="203" spans="2:2" x14ac:dyDescent="0.2">
      <c r="B203" s="112"/>
    </row>
    <row r="204" spans="2:2" x14ac:dyDescent="0.2">
      <c r="B204" s="112"/>
    </row>
    <row r="205" spans="2:2" x14ac:dyDescent="0.2">
      <c r="B205" s="112"/>
    </row>
    <row r="206" spans="2:2" x14ac:dyDescent="0.2">
      <c r="B206" s="112"/>
    </row>
    <row r="207" spans="2:2" x14ac:dyDescent="0.2">
      <c r="B207" s="112"/>
    </row>
    <row r="208" spans="2:2" x14ac:dyDescent="0.2">
      <c r="B208" s="112"/>
    </row>
    <row r="209" spans="2:2" x14ac:dyDescent="0.2">
      <c r="B209" s="112"/>
    </row>
    <row r="210" spans="2:2" x14ac:dyDescent="0.2">
      <c r="B210" s="112"/>
    </row>
    <row r="211" spans="2:2" x14ac:dyDescent="0.2">
      <c r="B211" s="112"/>
    </row>
    <row r="212" spans="2:2" x14ac:dyDescent="0.2">
      <c r="B212" s="112"/>
    </row>
    <row r="213" spans="2:2" x14ac:dyDescent="0.2">
      <c r="B213" s="112"/>
    </row>
    <row r="214" spans="2:2" x14ac:dyDescent="0.2">
      <c r="B214" s="112"/>
    </row>
    <row r="215" spans="2:2" x14ac:dyDescent="0.2">
      <c r="B215" s="112"/>
    </row>
    <row r="216" spans="2:2" x14ac:dyDescent="0.2">
      <c r="B216" s="112"/>
    </row>
  </sheetData>
  <mergeCells count="12">
    <mergeCell ref="F2:I2"/>
    <mergeCell ref="F3:I3"/>
    <mergeCell ref="A9:A11"/>
    <mergeCell ref="B9:B11"/>
    <mergeCell ref="C9:E9"/>
    <mergeCell ref="F9:I9"/>
    <mergeCell ref="D10:E10"/>
    <mergeCell ref="E5:I5"/>
    <mergeCell ref="A6:I6"/>
    <mergeCell ref="A7:I7"/>
    <mergeCell ref="F4:I4"/>
    <mergeCell ref="D8:E8"/>
  </mergeCells>
  <pageMargins left="1" right="0.2" top="0.2" bottom="1" header="0.2" footer="0.3"/>
  <pageSetup scale="90" firstPageNumber="101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7"/>
  <sheetViews>
    <sheetView tabSelected="1" view="pageBreakPreview" zoomScale="90" zoomScaleNormal="100" zoomScaleSheetLayoutView="90" workbookViewId="0">
      <selection activeCell="L4" sqref="L4"/>
    </sheetView>
  </sheetViews>
  <sheetFormatPr defaultRowHeight="16.5" x14ac:dyDescent="0.3"/>
  <cols>
    <col min="1" max="1" width="7.7109375" style="114" customWidth="1"/>
    <col min="2" max="2" width="61.7109375" style="1" customWidth="1"/>
    <col min="3" max="3" width="7.85546875" style="114" customWidth="1"/>
    <col min="4" max="4" width="14.28515625" style="114" customWidth="1"/>
    <col min="5" max="5" width="14.42578125" style="114" customWidth="1"/>
    <col min="6" max="6" width="13.42578125" style="114" customWidth="1"/>
    <col min="7" max="10" width="12.7109375" style="114" customWidth="1"/>
    <col min="11" max="16384" width="9.140625" style="114"/>
  </cols>
  <sheetData>
    <row r="1" spans="1:218" s="90" customFormat="1" ht="13.5" customHeight="1" x14ac:dyDescent="0.25">
      <c r="A1" s="92"/>
      <c r="C1" s="92"/>
      <c r="D1" s="138"/>
      <c r="E1" s="139"/>
      <c r="F1" s="139"/>
      <c r="H1" s="92"/>
      <c r="I1" s="92"/>
      <c r="J1" s="92" t="s">
        <v>864</v>
      </c>
    </row>
    <row r="2" spans="1:218" s="90" customFormat="1" ht="13.5" customHeight="1" x14ac:dyDescent="0.25">
      <c r="A2" s="92"/>
      <c r="C2" s="92"/>
      <c r="D2" s="138"/>
      <c r="E2" s="139"/>
      <c r="F2" s="139"/>
      <c r="G2" s="239" t="s">
        <v>601</v>
      </c>
      <c r="H2" s="239"/>
      <c r="I2" s="239"/>
      <c r="J2" s="239"/>
    </row>
    <row r="3" spans="1:218" s="90" customFormat="1" ht="13.5" x14ac:dyDescent="0.25">
      <c r="A3" s="92"/>
      <c r="C3" s="92"/>
      <c r="D3" s="138"/>
      <c r="E3" s="139"/>
      <c r="F3" s="139"/>
      <c r="G3" s="239" t="s">
        <v>863</v>
      </c>
      <c r="H3" s="239"/>
      <c r="I3" s="239"/>
      <c r="J3" s="239"/>
    </row>
    <row r="4" spans="1:218" s="90" customFormat="1" ht="13.5" x14ac:dyDescent="0.25">
      <c r="A4" s="92"/>
      <c r="C4" s="92"/>
      <c r="D4" s="138"/>
      <c r="E4" s="139"/>
      <c r="F4" s="139"/>
      <c r="G4" s="239" t="s">
        <v>865</v>
      </c>
      <c r="H4" s="239"/>
      <c r="I4" s="239"/>
      <c r="J4" s="239"/>
    </row>
    <row r="5" spans="1:218" s="90" customFormat="1" ht="13.5" x14ac:dyDescent="0.25">
      <c r="A5" s="92"/>
      <c r="C5" s="92"/>
      <c r="D5" s="138"/>
      <c r="E5" s="139"/>
      <c r="F5" s="139"/>
      <c r="G5" s="240"/>
      <c r="H5" s="240"/>
      <c r="I5" s="240"/>
      <c r="J5" s="240"/>
    </row>
    <row r="6" spans="1:218" x14ac:dyDescent="0.3">
      <c r="E6" s="256"/>
      <c r="F6" s="256"/>
      <c r="G6" s="256"/>
      <c r="H6" s="256"/>
      <c r="I6" s="256"/>
      <c r="J6" s="115"/>
    </row>
    <row r="7" spans="1:218" x14ac:dyDescent="0.3">
      <c r="E7" s="95"/>
      <c r="F7" s="95"/>
      <c r="G7" s="95"/>
      <c r="H7" s="95"/>
      <c r="I7" s="95"/>
      <c r="J7" s="115"/>
    </row>
    <row r="8" spans="1:218" x14ac:dyDescent="0.3">
      <c r="A8" s="257" t="s">
        <v>762</v>
      </c>
      <c r="B8" s="257"/>
      <c r="C8" s="257"/>
      <c r="D8" s="257"/>
      <c r="E8" s="257"/>
      <c r="F8" s="257"/>
      <c r="G8" s="257"/>
      <c r="H8" s="257"/>
      <c r="I8" s="257"/>
      <c r="J8" s="257"/>
    </row>
    <row r="9" spans="1:218" ht="16.5" customHeight="1" x14ac:dyDescent="0.3">
      <c r="A9" s="272" t="s">
        <v>763</v>
      </c>
      <c r="B9" s="272"/>
      <c r="C9" s="272"/>
      <c r="D9" s="272"/>
      <c r="E9" s="272"/>
      <c r="F9" s="272"/>
      <c r="G9" s="272"/>
      <c r="H9" s="272"/>
      <c r="I9" s="272"/>
      <c r="J9" s="272"/>
    </row>
    <row r="10" spans="1:218" ht="33" x14ac:dyDescent="0.3">
      <c r="A10" s="116" t="s">
        <v>764</v>
      </c>
      <c r="B10" s="117" t="s">
        <v>373</v>
      </c>
      <c r="C10" s="118"/>
      <c r="D10" s="273" t="s">
        <v>369</v>
      </c>
      <c r="E10" s="275" t="s">
        <v>765</v>
      </c>
      <c r="F10" s="276"/>
      <c r="G10" s="268" t="s">
        <v>766</v>
      </c>
      <c r="H10" s="269"/>
      <c r="I10" s="269"/>
      <c r="J10" s="270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</row>
    <row r="11" spans="1:218" ht="49.5" x14ac:dyDescent="0.3">
      <c r="A11" s="118"/>
      <c r="B11" s="117" t="s">
        <v>767</v>
      </c>
      <c r="C11" s="120" t="s">
        <v>768</v>
      </c>
      <c r="D11" s="274"/>
      <c r="E11" s="121" t="s">
        <v>769</v>
      </c>
      <c r="F11" s="121" t="s">
        <v>371</v>
      </c>
      <c r="G11" s="99" t="s">
        <v>187</v>
      </c>
      <c r="H11" s="99" t="s">
        <v>188</v>
      </c>
      <c r="I11" s="99" t="s">
        <v>189</v>
      </c>
      <c r="J11" s="99" t="s">
        <v>190</v>
      </c>
    </row>
    <row r="12" spans="1:218" ht="17.25" thickBot="1" x14ac:dyDescent="0.35">
      <c r="A12" s="122">
        <v>1</v>
      </c>
      <c r="B12" s="123">
        <v>2</v>
      </c>
      <c r="C12" s="122">
        <v>3</v>
      </c>
      <c r="D12" s="124">
        <v>4</v>
      </c>
      <c r="E12" s="124">
        <v>5</v>
      </c>
      <c r="F12" s="124">
        <v>6</v>
      </c>
      <c r="G12" s="125">
        <v>7</v>
      </c>
      <c r="H12" s="126">
        <v>8</v>
      </c>
      <c r="I12" s="126">
        <v>9</v>
      </c>
      <c r="J12" s="126">
        <v>10</v>
      </c>
    </row>
    <row r="13" spans="1:218" ht="33" x14ac:dyDescent="0.3">
      <c r="A13" s="127">
        <v>8010</v>
      </c>
      <c r="B13" s="128" t="s">
        <v>770</v>
      </c>
      <c r="C13" s="129"/>
      <c r="D13" s="155">
        <f>SUM(E13:F13)</f>
        <v>1334167.5008</v>
      </c>
      <c r="E13" s="155">
        <f>SUM(E15+E70)</f>
        <v>70561.320999999996</v>
      </c>
      <c r="F13" s="156">
        <f>SUM(F15+F70)</f>
        <v>1263606.1798</v>
      </c>
      <c r="G13" s="156">
        <f t="shared" ref="G13:J13" si="0">SUM(G15+G70)</f>
        <v>1334167.5008</v>
      </c>
      <c r="H13" s="156">
        <f t="shared" si="0"/>
        <v>1334167.5008</v>
      </c>
      <c r="I13" s="156">
        <f t="shared" si="0"/>
        <v>1334167.5008</v>
      </c>
      <c r="J13" s="156">
        <f t="shared" si="0"/>
        <v>1334167.5008</v>
      </c>
    </row>
    <row r="14" spans="1:218" x14ac:dyDescent="0.3">
      <c r="A14" s="127"/>
      <c r="B14" s="128" t="s">
        <v>154</v>
      </c>
      <c r="C14" s="127"/>
      <c r="D14" s="157"/>
      <c r="E14" s="158"/>
      <c r="F14" s="159"/>
      <c r="G14" s="159"/>
      <c r="H14" s="159"/>
      <c r="I14" s="159"/>
      <c r="J14" s="159"/>
    </row>
    <row r="15" spans="1:218" ht="33" x14ac:dyDescent="0.3">
      <c r="A15" s="127">
        <v>8100</v>
      </c>
      <c r="B15" s="128" t="s">
        <v>771</v>
      </c>
      <c r="C15" s="127"/>
      <c r="D15" s="160">
        <f>SUM(D17,D45)</f>
        <v>1334167.5008</v>
      </c>
      <c r="E15" s="160">
        <f>SUM(E17,E45)</f>
        <v>70561.320999999996</v>
      </c>
      <c r="F15" s="161">
        <f>SUM(F17,F45)</f>
        <v>1263606.1798</v>
      </c>
      <c r="G15" s="161">
        <f t="shared" ref="G15:J15" si="1">SUM(G17,G45)</f>
        <v>1334167.5008</v>
      </c>
      <c r="H15" s="161">
        <f t="shared" si="1"/>
        <v>1334167.5008</v>
      </c>
      <c r="I15" s="161">
        <f t="shared" si="1"/>
        <v>1334167.5008</v>
      </c>
      <c r="J15" s="161">
        <f t="shared" si="1"/>
        <v>1334167.5008</v>
      </c>
    </row>
    <row r="16" spans="1:218" x14ac:dyDescent="0.3">
      <c r="A16" s="127"/>
      <c r="B16" s="131" t="s">
        <v>154</v>
      </c>
      <c r="C16" s="127"/>
      <c r="D16" s="160"/>
      <c r="E16" s="160"/>
      <c r="F16" s="161"/>
      <c r="G16" s="161"/>
      <c r="H16" s="161"/>
      <c r="I16" s="161"/>
      <c r="J16" s="161"/>
    </row>
    <row r="17" spans="1:10" x14ac:dyDescent="0.3">
      <c r="A17" s="127">
        <v>8110</v>
      </c>
      <c r="B17" s="132" t="s">
        <v>772</v>
      </c>
      <c r="C17" s="127"/>
      <c r="D17" s="160">
        <f>SUM(D19:D23)</f>
        <v>0</v>
      </c>
      <c r="E17" s="160">
        <f>SUM(E19:E23)</f>
        <v>0</v>
      </c>
      <c r="F17" s="161">
        <f>SUM(F19:F23)</f>
        <v>0</v>
      </c>
      <c r="G17" s="161">
        <f t="shared" ref="G17:J17" si="2">SUM(G19:G23)</f>
        <v>0</v>
      </c>
      <c r="H17" s="161">
        <f t="shared" si="2"/>
        <v>0</v>
      </c>
      <c r="I17" s="161">
        <f t="shared" si="2"/>
        <v>0</v>
      </c>
      <c r="J17" s="161">
        <f t="shared" si="2"/>
        <v>0</v>
      </c>
    </row>
    <row r="18" spans="1:10" x14ac:dyDescent="0.3">
      <c r="A18" s="127"/>
      <c r="B18" s="128" t="s">
        <v>154</v>
      </c>
      <c r="C18" s="127"/>
      <c r="D18" s="162"/>
      <c r="E18" s="162"/>
      <c r="F18" s="162"/>
      <c r="G18" s="162"/>
      <c r="H18" s="162"/>
      <c r="I18" s="162"/>
      <c r="J18" s="162"/>
    </row>
    <row r="19" spans="1:10" ht="33" x14ac:dyDescent="0.3">
      <c r="A19" s="127">
        <v>8111</v>
      </c>
      <c r="B19" s="128" t="s">
        <v>773</v>
      </c>
      <c r="C19" s="127"/>
      <c r="D19" s="160">
        <f>SUM(D21:D22)</f>
        <v>0</v>
      </c>
      <c r="E19" s="163" t="s">
        <v>774</v>
      </c>
      <c r="F19" s="161">
        <f>SUM(F21:F22)</f>
        <v>0</v>
      </c>
      <c r="G19" s="161">
        <f t="shared" ref="G19:J19" si="3">SUM(G21:G22)</f>
        <v>0</v>
      </c>
      <c r="H19" s="161">
        <f t="shared" si="3"/>
        <v>0</v>
      </c>
      <c r="I19" s="161">
        <f t="shared" si="3"/>
        <v>0</v>
      </c>
      <c r="J19" s="161">
        <f t="shared" si="3"/>
        <v>0</v>
      </c>
    </row>
    <row r="20" spans="1:10" x14ac:dyDescent="0.3">
      <c r="A20" s="127"/>
      <c r="B20" s="128" t="s">
        <v>451</v>
      </c>
      <c r="C20" s="127"/>
      <c r="D20" s="160"/>
      <c r="E20" s="163"/>
      <c r="F20" s="164"/>
      <c r="G20" s="164"/>
      <c r="H20" s="164"/>
      <c r="I20" s="164"/>
      <c r="J20" s="164"/>
    </row>
    <row r="21" spans="1:10" ht="17.25" thickBot="1" x14ac:dyDescent="0.35">
      <c r="A21" s="127">
        <v>8112</v>
      </c>
      <c r="B21" s="134" t="s">
        <v>775</v>
      </c>
      <c r="C21" s="135" t="s">
        <v>776</v>
      </c>
      <c r="D21" s="165">
        <f>SUM(E21:F21)</f>
        <v>0</v>
      </c>
      <c r="E21" s="163" t="s">
        <v>774</v>
      </c>
      <c r="F21" s="164"/>
      <c r="G21" s="164"/>
      <c r="H21" s="164"/>
      <c r="I21" s="164"/>
      <c r="J21" s="164"/>
    </row>
    <row r="22" spans="1:10" ht="17.25" thickBot="1" x14ac:dyDescent="0.35">
      <c r="A22" s="127">
        <v>8113</v>
      </c>
      <c r="B22" s="134" t="s">
        <v>777</v>
      </c>
      <c r="C22" s="135" t="s">
        <v>778</v>
      </c>
      <c r="D22" s="165">
        <f>SUM(E22:F22)</f>
        <v>0</v>
      </c>
      <c r="E22" s="163" t="s">
        <v>774</v>
      </c>
      <c r="F22" s="164"/>
      <c r="G22" s="164"/>
      <c r="H22" s="164"/>
      <c r="I22" s="164"/>
      <c r="J22" s="164"/>
    </row>
    <row r="23" spans="1:10" ht="33" x14ac:dyDescent="0.3">
      <c r="A23" s="127">
        <v>8120</v>
      </c>
      <c r="B23" s="128" t="s">
        <v>779</v>
      </c>
      <c r="C23" s="135"/>
      <c r="D23" s="160">
        <f>SUM(D25,D35)</f>
        <v>0</v>
      </c>
      <c r="E23" s="160">
        <f>SUM(E25,E35)</f>
        <v>0</v>
      </c>
      <c r="F23" s="161">
        <f>SUM(F25,F35)</f>
        <v>0</v>
      </c>
      <c r="G23" s="161">
        <f t="shared" ref="G23:J23" si="4">SUM(G25,G35)</f>
        <v>0</v>
      </c>
      <c r="H23" s="161">
        <f t="shared" si="4"/>
        <v>0</v>
      </c>
      <c r="I23" s="161">
        <f t="shared" si="4"/>
        <v>0</v>
      </c>
      <c r="J23" s="161">
        <f t="shared" si="4"/>
        <v>0</v>
      </c>
    </row>
    <row r="24" spans="1:10" x14ac:dyDescent="0.3">
      <c r="A24" s="127"/>
      <c r="B24" s="128" t="s">
        <v>154</v>
      </c>
      <c r="C24" s="135"/>
      <c r="D24" s="160"/>
      <c r="E24" s="163"/>
      <c r="F24" s="164"/>
      <c r="G24" s="164"/>
      <c r="H24" s="164"/>
      <c r="I24" s="164"/>
      <c r="J24" s="164"/>
    </row>
    <row r="25" spans="1:10" x14ac:dyDescent="0.3">
      <c r="A25" s="127">
        <v>8121</v>
      </c>
      <c r="B25" s="128" t="s">
        <v>780</v>
      </c>
      <c r="C25" s="135"/>
      <c r="D25" s="160">
        <f>SUM(D27,D31)</f>
        <v>0</v>
      </c>
      <c r="E25" s="163" t="s">
        <v>774</v>
      </c>
      <c r="F25" s="161">
        <f>SUM(F27,F31)</f>
        <v>0</v>
      </c>
      <c r="G25" s="161">
        <f t="shared" ref="G25:J25" si="5">SUM(G27,G31)</f>
        <v>0</v>
      </c>
      <c r="H25" s="161">
        <f t="shared" si="5"/>
        <v>0</v>
      </c>
      <c r="I25" s="161">
        <f t="shared" si="5"/>
        <v>0</v>
      </c>
      <c r="J25" s="161">
        <f t="shared" si="5"/>
        <v>0</v>
      </c>
    </row>
    <row r="26" spans="1:10" x14ac:dyDescent="0.3">
      <c r="A26" s="127"/>
      <c r="B26" s="128" t="s">
        <v>451</v>
      </c>
      <c r="C26" s="135"/>
      <c r="D26" s="160"/>
      <c r="E26" s="163"/>
      <c r="F26" s="164"/>
      <c r="G26" s="164"/>
      <c r="H26" s="164"/>
      <c r="I26" s="164"/>
      <c r="J26" s="164"/>
    </row>
    <row r="27" spans="1:10" x14ac:dyDescent="0.3">
      <c r="A27" s="127">
        <v>8122</v>
      </c>
      <c r="B27" s="132" t="s">
        <v>781</v>
      </c>
      <c r="C27" s="135" t="s">
        <v>782</v>
      </c>
      <c r="D27" s="160">
        <f>SUM(D29:D30)</f>
        <v>0</v>
      </c>
      <c r="E27" s="163" t="s">
        <v>774</v>
      </c>
      <c r="F27" s="161">
        <f>SUM(F29:F30)</f>
        <v>0</v>
      </c>
      <c r="G27" s="161">
        <f t="shared" ref="G27:J27" si="6">SUM(G29:G30)</f>
        <v>0</v>
      </c>
      <c r="H27" s="161">
        <f t="shared" si="6"/>
        <v>0</v>
      </c>
      <c r="I27" s="161">
        <f t="shared" si="6"/>
        <v>0</v>
      </c>
      <c r="J27" s="161">
        <f t="shared" si="6"/>
        <v>0</v>
      </c>
    </row>
    <row r="28" spans="1:10" x14ac:dyDescent="0.3">
      <c r="A28" s="127"/>
      <c r="B28" s="132" t="s">
        <v>451</v>
      </c>
      <c r="C28" s="135"/>
      <c r="D28" s="160"/>
      <c r="E28" s="163"/>
      <c r="F28" s="164"/>
      <c r="G28" s="164"/>
      <c r="H28" s="164"/>
      <c r="I28" s="164"/>
      <c r="J28" s="164"/>
    </row>
    <row r="29" spans="1:10" ht="17.25" thickBot="1" x14ac:dyDescent="0.35">
      <c r="A29" s="127">
        <v>8123</v>
      </c>
      <c r="B29" s="132" t="s">
        <v>783</v>
      </c>
      <c r="C29" s="135"/>
      <c r="D29" s="165">
        <f>SUM(E29:F29)</f>
        <v>0</v>
      </c>
      <c r="E29" s="163" t="s">
        <v>774</v>
      </c>
      <c r="F29" s="164"/>
      <c r="G29" s="164"/>
      <c r="H29" s="164"/>
      <c r="I29" s="164"/>
      <c r="J29" s="164"/>
    </row>
    <row r="30" spans="1:10" ht="17.25" thickBot="1" x14ac:dyDescent="0.35">
      <c r="A30" s="127">
        <v>8124</v>
      </c>
      <c r="B30" s="132" t="s">
        <v>784</v>
      </c>
      <c r="C30" s="135"/>
      <c r="D30" s="165">
        <f>SUM(E30:F30)</f>
        <v>0</v>
      </c>
      <c r="E30" s="163" t="s">
        <v>774</v>
      </c>
      <c r="F30" s="164"/>
      <c r="G30" s="164"/>
      <c r="H30" s="164"/>
      <c r="I30" s="164"/>
      <c r="J30" s="164"/>
    </row>
    <row r="31" spans="1:10" x14ac:dyDescent="0.3">
      <c r="A31" s="127">
        <v>8130</v>
      </c>
      <c r="B31" s="132" t="s">
        <v>785</v>
      </c>
      <c r="C31" s="135" t="s">
        <v>786</v>
      </c>
      <c r="D31" s="160">
        <f>SUM(D33:D34)</f>
        <v>0</v>
      </c>
      <c r="E31" s="163" t="s">
        <v>774</v>
      </c>
      <c r="F31" s="161">
        <f>SUM(F33:F34)</f>
        <v>0</v>
      </c>
      <c r="G31" s="161">
        <f t="shared" ref="G31:J31" si="7">SUM(G33:G34)</f>
        <v>0</v>
      </c>
      <c r="H31" s="161">
        <f t="shared" si="7"/>
        <v>0</v>
      </c>
      <c r="I31" s="161">
        <f t="shared" si="7"/>
        <v>0</v>
      </c>
      <c r="J31" s="161">
        <f t="shared" si="7"/>
        <v>0</v>
      </c>
    </row>
    <row r="32" spans="1:10" x14ac:dyDescent="0.3">
      <c r="A32" s="127"/>
      <c r="B32" s="132" t="s">
        <v>451</v>
      </c>
      <c r="C32" s="135"/>
      <c r="D32" s="160"/>
      <c r="E32" s="163"/>
      <c r="F32" s="164"/>
      <c r="G32" s="164"/>
      <c r="H32" s="164"/>
      <c r="I32" s="164"/>
      <c r="J32" s="164"/>
    </row>
    <row r="33" spans="1:10" ht="17.25" thickBot="1" x14ac:dyDescent="0.35">
      <c r="A33" s="127">
        <v>8131</v>
      </c>
      <c r="B33" s="132" t="s">
        <v>787</v>
      </c>
      <c r="C33" s="135"/>
      <c r="D33" s="165">
        <f>SUM(E33:F33)</f>
        <v>0</v>
      </c>
      <c r="E33" s="163" t="s">
        <v>774</v>
      </c>
      <c r="F33" s="164"/>
      <c r="G33" s="164"/>
      <c r="H33" s="164"/>
      <c r="I33" s="164"/>
      <c r="J33" s="164"/>
    </row>
    <row r="34" spans="1:10" ht="17.25" thickBot="1" x14ac:dyDescent="0.35">
      <c r="A34" s="127">
        <v>8132</v>
      </c>
      <c r="B34" s="132" t="s">
        <v>788</v>
      </c>
      <c r="C34" s="135"/>
      <c r="D34" s="165">
        <f>SUM(E34:F34)</f>
        <v>0</v>
      </c>
      <c r="E34" s="163" t="s">
        <v>774</v>
      </c>
      <c r="F34" s="164"/>
      <c r="G34" s="164"/>
      <c r="H34" s="164"/>
      <c r="I34" s="164"/>
      <c r="J34" s="164"/>
    </row>
    <row r="35" spans="1:10" x14ac:dyDescent="0.3">
      <c r="A35" s="127">
        <v>8140</v>
      </c>
      <c r="B35" s="132" t="s">
        <v>789</v>
      </c>
      <c r="C35" s="135"/>
      <c r="D35" s="160">
        <f>SUM(D37,D41)</f>
        <v>0</v>
      </c>
      <c r="E35" s="160">
        <f>SUM(E37,E41)</f>
        <v>0</v>
      </c>
      <c r="F35" s="161">
        <f>SUM(F37,F41)</f>
        <v>0</v>
      </c>
      <c r="G35" s="161">
        <f t="shared" ref="G35:J35" si="8">SUM(G37,G41)</f>
        <v>0</v>
      </c>
      <c r="H35" s="161">
        <f t="shared" si="8"/>
        <v>0</v>
      </c>
      <c r="I35" s="161">
        <f t="shared" si="8"/>
        <v>0</v>
      </c>
      <c r="J35" s="161">
        <f t="shared" si="8"/>
        <v>0</v>
      </c>
    </row>
    <row r="36" spans="1:10" ht="17.25" thickBot="1" x14ac:dyDescent="0.35">
      <c r="A36" s="127"/>
      <c r="B36" s="128" t="s">
        <v>451</v>
      </c>
      <c r="C36" s="135"/>
      <c r="D36" s="160"/>
      <c r="E36" s="163"/>
      <c r="F36" s="164"/>
      <c r="G36" s="164"/>
      <c r="H36" s="164"/>
      <c r="I36" s="164"/>
      <c r="J36" s="164"/>
    </row>
    <row r="37" spans="1:10" x14ac:dyDescent="0.3">
      <c r="A37" s="127">
        <v>8141</v>
      </c>
      <c r="B37" s="132" t="s">
        <v>790</v>
      </c>
      <c r="C37" s="135" t="s">
        <v>782</v>
      </c>
      <c r="D37" s="166">
        <f>SUM(D39:D40)</f>
        <v>0</v>
      </c>
      <c r="E37" s="166">
        <f>SUM(E39:E40)</f>
        <v>0</v>
      </c>
      <c r="F37" s="167">
        <f>SUM(F39:F40)</f>
        <v>0</v>
      </c>
      <c r="G37" s="167">
        <f t="shared" ref="G37:J37" si="9">SUM(G39:G40)</f>
        <v>0</v>
      </c>
      <c r="H37" s="167">
        <f t="shared" si="9"/>
        <v>0</v>
      </c>
      <c r="I37" s="167">
        <f t="shared" si="9"/>
        <v>0</v>
      </c>
      <c r="J37" s="167">
        <f t="shared" si="9"/>
        <v>0</v>
      </c>
    </row>
    <row r="38" spans="1:10" x14ac:dyDescent="0.3">
      <c r="A38" s="127"/>
      <c r="B38" s="132" t="s">
        <v>451</v>
      </c>
      <c r="C38" s="135"/>
      <c r="D38" s="160"/>
      <c r="E38" s="163"/>
      <c r="F38" s="164"/>
      <c r="G38" s="164"/>
      <c r="H38" s="164"/>
      <c r="I38" s="164"/>
      <c r="J38" s="164"/>
    </row>
    <row r="39" spans="1:10" ht="17.25" thickBot="1" x14ac:dyDescent="0.35">
      <c r="A39" s="127">
        <v>8142</v>
      </c>
      <c r="B39" s="132" t="s">
        <v>791</v>
      </c>
      <c r="C39" s="135"/>
      <c r="D39" s="165">
        <f>SUM(E39:F39)</f>
        <v>0</v>
      </c>
      <c r="E39" s="163"/>
      <c r="F39" s="164" t="s">
        <v>0</v>
      </c>
      <c r="G39" s="163"/>
      <c r="H39" s="163"/>
      <c r="I39" s="163"/>
      <c r="J39" s="163"/>
    </row>
    <row r="40" spans="1:10" ht="17.25" thickBot="1" x14ac:dyDescent="0.35">
      <c r="A40" s="127">
        <v>8143</v>
      </c>
      <c r="B40" s="132" t="s">
        <v>792</v>
      </c>
      <c r="C40" s="135"/>
      <c r="D40" s="165">
        <f>SUM(E40:F40)</f>
        <v>0</v>
      </c>
      <c r="E40" s="168"/>
      <c r="F40" s="169" t="s">
        <v>0</v>
      </c>
      <c r="G40" s="168"/>
      <c r="H40" s="168"/>
      <c r="I40" s="168"/>
      <c r="J40" s="168"/>
    </row>
    <row r="41" spans="1:10" x14ac:dyDescent="0.3">
      <c r="A41" s="127">
        <v>8150</v>
      </c>
      <c r="B41" s="132" t="s">
        <v>793</v>
      </c>
      <c r="C41" s="135" t="s">
        <v>786</v>
      </c>
      <c r="D41" s="166">
        <f>SUM(D43:D44)</f>
        <v>0</v>
      </c>
      <c r="E41" s="166">
        <f>SUM(E43:E44)</f>
        <v>0</v>
      </c>
      <c r="F41" s="167">
        <f>SUM(F43:F44)</f>
        <v>0</v>
      </c>
      <c r="G41" s="166">
        <f>SUM(G43:G44)</f>
        <v>0</v>
      </c>
      <c r="H41" s="166">
        <f t="shared" ref="H41:J41" si="10">SUM(H43:H44)</f>
        <v>0</v>
      </c>
      <c r="I41" s="166">
        <f t="shared" si="10"/>
        <v>0</v>
      </c>
      <c r="J41" s="166">
        <f t="shared" si="10"/>
        <v>0</v>
      </c>
    </row>
    <row r="42" spans="1:10" x14ac:dyDescent="0.3">
      <c r="A42" s="127"/>
      <c r="B42" s="132" t="s">
        <v>451</v>
      </c>
      <c r="C42" s="135"/>
      <c r="D42" s="160"/>
      <c r="E42" s="163"/>
      <c r="F42" s="164"/>
      <c r="G42" s="163"/>
      <c r="H42" s="163"/>
      <c r="I42" s="163"/>
      <c r="J42" s="163"/>
    </row>
    <row r="43" spans="1:10" ht="17.25" thickBot="1" x14ac:dyDescent="0.35">
      <c r="A43" s="127">
        <v>8151</v>
      </c>
      <c r="B43" s="132" t="s">
        <v>787</v>
      </c>
      <c r="C43" s="135"/>
      <c r="D43" s="165">
        <f>SUM(E43:F43)</f>
        <v>0</v>
      </c>
      <c r="E43" s="163"/>
      <c r="F43" s="164" t="s">
        <v>0</v>
      </c>
      <c r="G43" s="163"/>
      <c r="H43" s="163"/>
      <c r="I43" s="163"/>
      <c r="J43" s="163"/>
    </row>
    <row r="44" spans="1:10" ht="17.25" thickBot="1" x14ac:dyDescent="0.35">
      <c r="A44" s="127">
        <v>8152</v>
      </c>
      <c r="B44" s="132" t="s">
        <v>794</v>
      </c>
      <c r="C44" s="135"/>
      <c r="D44" s="165">
        <f>SUM(E44:F44)</f>
        <v>0</v>
      </c>
      <c r="E44" s="168"/>
      <c r="F44" s="169" t="s">
        <v>0</v>
      </c>
      <c r="G44" s="168"/>
      <c r="H44" s="168"/>
      <c r="I44" s="168"/>
      <c r="J44" s="168"/>
    </row>
    <row r="45" spans="1:10" ht="50.25" thickBot="1" x14ac:dyDescent="0.35">
      <c r="A45" s="127">
        <v>8160</v>
      </c>
      <c r="B45" s="132" t="s">
        <v>795</v>
      </c>
      <c r="C45" s="135"/>
      <c r="D45" s="170">
        <f>SUM(D47,D52,D56,D68)</f>
        <v>1334167.5008</v>
      </c>
      <c r="E45" s="170">
        <f>SUM(E47,E52,E56,E68)</f>
        <v>70561.320999999996</v>
      </c>
      <c r="F45" s="171">
        <f>SUM(F47,F52,F56,F68)</f>
        <v>1263606.1798</v>
      </c>
      <c r="G45" s="170">
        <f>SUM(G47,G52,G56,G68)</f>
        <v>1334167.5008</v>
      </c>
      <c r="H45" s="170">
        <f t="shared" ref="H45:J45" si="11">SUM(H47,H52,H56,H68)</f>
        <v>1334167.5008</v>
      </c>
      <c r="I45" s="170">
        <f t="shared" si="11"/>
        <v>1334167.5008</v>
      </c>
      <c r="J45" s="170">
        <f t="shared" si="11"/>
        <v>1334167.5008</v>
      </c>
    </row>
    <row r="46" spans="1:10" ht="17.25" thickBot="1" x14ac:dyDescent="0.35">
      <c r="A46" s="127"/>
      <c r="B46" s="131" t="s">
        <v>154</v>
      </c>
      <c r="C46" s="135"/>
      <c r="D46" s="172"/>
      <c r="E46" s="173"/>
      <c r="F46" s="174"/>
      <c r="G46" s="173"/>
      <c r="H46" s="173"/>
      <c r="I46" s="173"/>
      <c r="J46" s="173"/>
    </row>
    <row r="47" spans="1:10" ht="17.25" thickBot="1" x14ac:dyDescent="0.35">
      <c r="A47" s="127">
        <v>8161</v>
      </c>
      <c r="B47" s="128" t="s">
        <v>796</v>
      </c>
      <c r="C47" s="135"/>
      <c r="D47" s="175">
        <f>SUM(D49:D51)</f>
        <v>0</v>
      </c>
      <c r="E47" s="176" t="s">
        <v>774</v>
      </c>
      <c r="F47" s="177">
        <f>SUM(F49:F51)</f>
        <v>0</v>
      </c>
      <c r="G47" s="177">
        <f t="shared" ref="G47:J47" si="12">SUM(G49:G51)</f>
        <v>0</v>
      </c>
      <c r="H47" s="177">
        <f t="shared" si="12"/>
        <v>0</v>
      </c>
      <c r="I47" s="177">
        <f t="shared" si="12"/>
        <v>0</v>
      </c>
      <c r="J47" s="177">
        <f t="shared" si="12"/>
        <v>0</v>
      </c>
    </row>
    <row r="48" spans="1:10" x14ac:dyDescent="0.3">
      <c r="A48" s="127"/>
      <c r="B48" s="128" t="s">
        <v>451</v>
      </c>
      <c r="C48" s="135"/>
      <c r="D48" s="157"/>
      <c r="E48" s="178"/>
      <c r="F48" s="159"/>
      <c r="G48" s="159"/>
      <c r="H48" s="159"/>
      <c r="I48" s="159"/>
      <c r="J48" s="159"/>
    </row>
    <row r="49" spans="1:10" ht="50.25" thickBot="1" x14ac:dyDescent="0.35">
      <c r="A49" s="127">
        <v>8162</v>
      </c>
      <c r="B49" s="132" t="s">
        <v>797</v>
      </c>
      <c r="C49" s="135" t="s">
        <v>798</v>
      </c>
      <c r="D49" s="165"/>
      <c r="E49" s="163" t="s">
        <v>774</v>
      </c>
      <c r="F49" s="164"/>
      <c r="G49" s="164"/>
      <c r="H49" s="164"/>
      <c r="I49" s="164"/>
      <c r="J49" s="164"/>
    </row>
    <row r="50" spans="1:10" ht="116.25" thickBot="1" x14ac:dyDescent="0.35">
      <c r="A50" s="127">
        <v>8163</v>
      </c>
      <c r="B50" s="132" t="s">
        <v>799</v>
      </c>
      <c r="C50" s="135" t="s">
        <v>798</v>
      </c>
      <c r="D50" s="165">
        <f>SUM(E50:F50)</f>
        <v>0</v>
      </c>
      <c r="E50" s="176" t="s">
        <v>774</v>
      </c>
      <c r="F50" s="179"/>
      <c r="G50" s="179"/>
      <c r="H50" s="179"/>
      <c r="I50" s="179"/>
      <c r="J50" s="179"/>
    </row>
    <row r="51" spans="1:10" ht="33.75" thickBot="1" x14ac:dyDescent="0.35">
      <c r="A51" s="127">
        <v>8164</v>
      </c>
      <c r="B51" s="132" t="s">
        <v>800</v>
      </c>
      <c r="C51" s="135" t="s">
        <v>801</v>
      </c>
      <c r="D51" s="165">
        <f>SUM(E51:F51)</f>
        <v>0</v>
      </c>
      <c r="E51" s="168" t="s">
        <v>774</v>
      </c>
      <c r="F51" s="169"/>
      <c r="G51" s="169"/>
      <c r="H51" s="169"/>
      <c r="I51" s="169"/>
      <c r="J51" s="169"/>
    </row>
    <row r="52" spans="1:10" ht="17.25" thickBot="1" x14ac:dyDescent="0.35">
      <c r="A52" s="127">
        <v>8170</v>
      </c>
      <c r="B52" s="128" t="s">
        <v>802</v>
      </c>
      <c r="C52" s="135"/>
      <c r="D52" s="180">
        <f>SUM(D54:D55)</f>
        <v>0</v>
      </c>
      <c r="E52" s="180">
        <f>SUM(E54:E55)</f>
        <v>0</v>
      </c>
      <c r="F52" s="181">
        <f>SUM(F54:F55)</f>
        <v>0</v>
      </c>
      <c r="G52" s="181">
        <f t="shared" ref="G52:J52" si="13">SUM(G54:G55)</f>
        <v>0</v>
      </c>
      <c r="H52" s="181">
        <f t="shared" si="13"/>
        <v>0</v>
      </c>
      <c r="I52" s="181">
        <f t="shared" si="13"/>
        <v>0</v>
      </c>
      <c r="J52" s="181">
        <f t="shared" si="13"/>
        <v>0</v>
      </c>
    </row>
    <row r="53" spans="1:10" x14ac:dyDescent="0.3">
      <c r="A53" s="127"/>
      <c r="B53" s="128" t="s">
        <v>451</v>
      </c>
      <c r="C53" s="135"/>
      <c r="D53" s="182"/>
      <c r="E53" s="178"/>
      <c r="F53" s="183"/>
      <c r="G53" s="183"/>
      <c r="H53" s="183"/>
      <c r="I53" s="183"/>
      <c r="J53" s="183"/>
    </row>
    <row r="54" spans="1:10" ht="33.75" thickBot="1" x14ac:dyDescent="0.35">
      <c r="A54" s="127">
        <v>8171</v>
      </c>
      <c r="B54" s="132" t="s">
        <v>803</v>
      </c>
      <c r="C54" s="135" t="s">
        <v>804</v>
      </c>
      <c r="D54" s="165">
        <f>SUM(E54:F54)</f>
        <v>0</v>
      </c>
      <c r="E54" s="184"/>
      <c r="F54" s="164"/>
      <c r="G54" s="164"/>
      <c r="H54" s="164"/>
      <c r="I54" s="164"/>
      <c r="J54" s="164"/>
    </row>
    <row r="55" spans="1:10" ht="17.25" thickBot="1" x14ac:dyDescent="0.35">
      <c r="A55" s="127">
        <v>8172</v>
      </c>
      <c r="B55" s="134" t="s">
        <v>805</v>
      </c>
      <c r="C55" s="135" t="s">
        <v>806</v>
      </c>
      <c r="D55" s="165">
        <f>SUM(E55:F55)</f>
        <v>0</v>
      </c>
      <c r="E55" s="185"/>
      <c r="F55" s="186"/>
      <c r="G55" s="186"/>
      <c r="H55" s="186"/>
      <c r="I55" s="186"/>
      <c r="J55" s="186"/>
    </row>
    <row r="56" spans="1:10" ht="33.75" thickBot="1" x14ac:dyDescent="0.35">
      <c r="A56" s="127">
        <v>8190</v>
      </c>
      <c r="B56" s="128" t="s">
        <v>807</v>
      </c>
      <c r="C56" s="127"/>
      <c r="D56" s="152">
        <f>SUM(E56:F56)</f>
        <v>1334167.5008</v>
      </c>
      <c r="E56" s="175">
        <f>SUM(E58+E62-E61)</f>
        <v>70561.320999999996</v>
      </c>
      <c r="F56" s="177">
        <f>SUM(F62)</f>
        <v>1263606.1798</v>
      </c>
      <c r="G56" s="177">
        <f>+G60+G61+G64</f>
        <v>1334167.5008</v>
      </c>
      <c r="H56" s="177">
        <f t="shared" ref="H56:J56" si="14">+H60+H61+H64</f>
        <v>1334167.5008</v>
      </c>
      <c r="I56" s="177">
        <f t="shared" si="14"/>
        <v>1334167.5008</v>
      </c>
      <c r="J56" s="177">
        <f t="shared" si="14"/>
        <v>1334167.5008</v>
      </c>
    </row>
    <row r="57" spans="1:10" x14ac:dyDescent="0.3">
      <c r="A57" s="127"/>
      <c r="B57" s="128" t="s">
        <v>375</v>
      </c>
      <c r="C57" s="127"/>
      <c r="D57" s="187"/>
      <c r="E57" s="188"/>
      <c r="F57" s="189"/>
      <c r="G57" s="189"/>
      <c r="H57" s="189"/>
      <c r="I57" s="189"/>
      <c r="J57" s="189"/>
    </row>
    <row r="58" spans="1:10" ht="33" x14ac:dyDescent="0.3">
      <c r="A58" s="127">
        <v>8191</v>
      </c>
      <c r="B58" s="128" t="s">
        <v>808</v>
      </c>
      <c r="C58" s="127">
        <v>9320</v>
      </c>
      <c r="D58" s="190">
        <f>SUM(E58:F58)</f>
        <v>883181.08550000004</v>
      </c>
      <c r="E58" s="191">
        <v>883181.08550000004</v>
      </c>
      <c r="F58" s="192" t="s">
        <v>0</v>
      </c>
      <c r="G58" s="191">
        <v>883181.08550000004</v>
      </c>
      <c r="H58" s="191">
        <v>883181.08550000004</v>
      </c>
      <c r="I58" s="191">
        <v>883181.08550000004</v>
      </c>
      <c r="J58" s="191">
        <v>883181.08550000004</v>
      </c>
    </row>
    <row r="59" spans="1:10" x14ac:dyDescent="0.3">
      <c r="A59" s="127"/>
      <c r="B59" s="128" t="s">
        <v>156</v>
      </c>
      <c r="C59" s="127"/>
      <c r="D59" s="160"/>
      <c r="E59" s="184"/>
      <c r="F59" s="164"/>
      <c r="G59" s="184"/>
      <c r="H59" s="184"/>
      <c r="I59" s="184"/>
      <c r="J59" s="184"/>
    </row>
    <row r="60" spans="1:10" ht="66" x14ac:dyDescent="0.3">
      <c r="A60" s="127">
        <v>8192</v>
      </c>
      <c r="B60" s="132" t="s">
        <v>809</v>
      </c>
      <c r="C60" s="127"/>
      <c r="D60" s="190">
        <f>SUM(E60:F60)</f>
        <v>70561.320999999996</v>
      </c>
      <c r="E60" s="184">
        <v>70561.320999999996</v>
      </c>
      <c r="F60" s="193" t="s">
        <v>774</v>
      </c>
      <c r="G60" s="184">
        <v>70561.320999999996</v>
      </c>
      <c r="H60" s="184">
        <v>70561.320999999996</v>
      </c>
      <c r="I60" s="184">
        <v>70561.320999999996</v>
      </c>
      <c r="J60" s="184">
        <v>70561.320999999996</v>
      </c>
    </row>
    <row r="61" spans="1:10" ht="33.75" thickBot="1" x14ac:dyDescent="0.35">
      <c r="A61" s="127">
        <v>8193</v>
      </c>
      <c r="B61" s="132" t="s">
        <v>810</v>
      </c>
      <c r="C61" s="127"/>
      <c r="D61" s="160">
        <f>D58-D60</f>
        <v>812619.76450000005</v>
      </c>
      <c r="E61" s="160">
        <f>E58-E60</f>
        <v>812619.76450000005</v>
      </c>
      <c r="F61" s="193" t="s">
        <v>0</v>
      </c>
      <c r="G61" s="160">
        <f t="shared" ref="G61:J61" si="15">G58-G60</f>
        <v>812619.76450000005</v>
      </c>
      <c r="H61" s="160">
        <f t="shared" si="15"/>
        <v>812619.76450000005</v>
      </c>
      <c r="I61" s="160">
        <f t="shared" si="15"/>
        <v>812619.76450000005</v>
      </c>
      <c r="J61" s="160">
        <f t="shared" si="15"/>
        <v>812619.76450000005</v>
      </c>
    </row>
    <row r="62" spans="1:10" ht="33.75" thickBot="1" x14ac:dyDescent="0.35">
      <c r="A62" s="127">
        <v>8194</v>
      </c>
      <c r="B62" s="128" t="s">
        <v>811</v>
      </c>
      <c r="C62" s="133">
        <v>9330</v>
      </c>
      <c r="D62" s="175">
        <f>D64+D65</f>
        <v>1263606.1798</v>
      </c>
      <c r="E62" s="175">
        <f>SUM(E64,E65)</f>
        <v>0</v>
      </c>
      <c r="F62" s="177">
        <f>F64+F65</f>
        <v>1263606.1798</v>
      </c>
      <c r="G62" s="175">
        <f t="shared" ref="G62:J62" si="16">SUM(G64,G65)</f>
        <v>1263606.1798</v>
      </c>
      <c r="H62" s="175">
        <f t="shared" si="16"/>
        <v>1263606.1798</v>
      </c>
      <c r="I62" s="175">
        <f t="shared" si="16"/>
        <v>1263606.1798</v>
      </c>
      <c r="J62" s="175">
        <f t="shared" si="16"/>
        <v>1263606.1798</v>
      </c>
    </row>
    <row r="63" spans="1:10" x14ac:dyDescent="0.3">
      <c r="A63" s="127"/>
      <c r="B63" s="128" t="s">
        <v>156</v>
      </c>
      <c r="C63" s="133"/>
      <c r="D63" s="160"/>
      <c r="E63" s="163"/>
      <c r="F63" s="164"/>
      <c r="G63" s="163"/>
      <c r="H63" s="163"/>
      <c r="I63" s="163"/>
      <c r="J63" s="163"/>
    </row>
    <row r="64" spans="1:10" ht="50.25" thickBot="1" x14ac:dyDescent="0.35">
      <c r="A64" s="127">
        <v>8195</v>
      </c>
      <c r="B64" s="132" t="s">
        <v>812</v>
      </c>
      <c r="C64" s="133"/>
      <c r="D64" s="165">
        <f>F64</f>
        <v>450986.41529999999</v>
      </c>
      <c r="E64" s="163" t="s">
        <v>774</v>
      </c>
      <c r="F64" s="164">
        <v>450986.41529999999</v>
      </c>
      <c r="G64" s="164">
        <v>450986.41529999999</v>
      </c>
      <c r="H64" s="164">
        <v>450986.41529999999</v>
      </c>
      <c r="I64" s="164">
        <v>450986.41529999999</v>
      </c>
      <c r="J64" s="164">
        <f>+D64</f>
        <v>450986.41529999999</v>
      </c>
    </row>
    <row r="65" spans="1:10" ht="50.25" thickBot="1" x14ac:dyDescent="0.35">
      <c r="A65" s="127">
        <v>8196</v>
      </c>
      <c r="B65" s="132" t="s">
        <v>813</v>
      </c>
      <c r="C65" s="133"/>
      <c r="D65" s="165">
        <f>F65</f>
        <v>812619.76450000005</v>
      </c>
      <c r="E65" s="163" t="s">
        <v>774</v>
      </c>
      <c r="F65" s="194">
        <f>+E61</f>
        <v>812619.76450000005</v>
      </c>
      <c r="G65" s="194">
        <v>812619.76450000005</v>
      </c>
      <c r="H65" s="194">
        <v>812619.76450000005</v>
      </c>
      <c r="I65" s="194">
        <v>812619.76450000005</v>
      </c>
      <c r="J65" s="164">
        <f>+D65</f>
        <v>812619.76450000005</v>
      </c>
    </row>
    <row r="66" spans="1:10" ht="33.75" thickBot="1" x14ac:dyDescent="0.35">
      <c r="A66" s="127">
        <v>8197</v>
      </c>
      <c r="B66" s="128" t="s">
        <v>814</v>
      </c>
      <c r="C66" s="133"/>
      <c r="D66" s="165" t="s">
        <v>0</v>
      </c>
      <c r="E66" s="195" t="s">
        <v>774</v>
      </c>
      <c r="F66" s="196" t="s">
        <v>0</v>
      </c>
      <c r="G66" s="130"/>
      <c r="H66" s="130"/>
      <c r="I66" s="130"/>
      <c r="J66" s="130"/>
    </row>
    <row r="67" spans="1:10" ht="50.25" thickBot="1" x14ac:dyDescent="0.35">
      <c r="A67" s="127">
        <v>8198</v>
      </c>
      <c r="B67" s="128" t="s">
        <v>815</v>
      </c>
      <c r="C67" s="133"/>
      <c r="D67" s="165">
        <f>SUM(E67:F67)</f>
        <v>0</v>
      </c>
      <c r="E67" s="163" t="s">
        <v>0</v>
      </c>
      <c r="F67" s="164"/>
      <c r="G67" s="130"/>
      <c r="H67" s="130"/>
      <c r="I67" s="130"/>
      <c r="J67" s="130"/>
    </row>
    <row r="68" spans="1:10" ht="66" x14ac:dyDescent="0.3">
      <c r="A68" s="127">
        <v>8199</v>
      </c>
      <c r="B68" s="128" t="s">
        <v>816</v>
      </c>
      <c r="C68" s="133"/>
      <c r="D68" s="162">
        <f>SUM(E68:F68)</f>
        <v>0</v>
      </c>
      <c r="E68" s="163"/>
      <c r="F68" s="164"/>
      <c r="G68" s="130"/>
      <c r="H68" s="130"/>
      <c r="I68" s="130"/>
      <c r="J68" s="130"/>
    </row>
    <row r="69" spans="1:10" ht="33" x14ac:dyDescent="0.3">
      <c r="A69" s="127" t="s">
        <v>817</v>
      </c>
      <c r="B69" s="132" t="s">
        <v>818</v>
      </c>
      <c r="C69" s="133"/>
      <c r="D69" s="162">
        <f>SUM(E69:F69)</f>
        <v>0</v>
      </c>
      <c r="E69" s="195"/>
      <c r="F69" s="164"/>
      <c r="G69" s="130"/>
      <c r="H69" s="130"/>
      <c r="I69" s="130"/>
      <c r="J69" s="130"/>
    </row>
    <row r="70" spans="1:10" x14ac:dyDescent="0.3">
      <c r="A70" s="127">
        <v>8200</v>
      </c>
      <c r="B70" s="128" t="s">
        <v>819</v>
      </c>
      <c r="C70" s="127"/>
      <c r="D70" s="160">
        <f>SUM(D72)</f>
        <v>0</v>
      </c>
      <c r="E70" s="160">
        <f>SUM(E72)</f>
        <v>0</v>
      </c>
      <c r="F70" s="161">
        <f>SUM(F72)</f>
        <v>0</v>
      </c>
      <c r="G70" s="161">
        <f t="shared" ref="G70:J70" si="17">SUM(G72)</f>
        <v>0</v>
      </c>
      <c r="H70" s="161">
        <f t="shared" si="17"/>
        <v>0</v>
      </c>
      <c r="I70" s="161">
        <f t="shared" si="17"/>
        <v>0</v>
      </c>
      <c r="J70" s="161">
        <f t="shared" si="17"/>
        <v>0</v>
      </c>
    </row>
    <row r="71" spans="1:10" x14ac:dyDescent="0.3">
      <c r="A71" s="127"/>
      <c r="B71" s="131" t="s">
        <v>154</v>
      </c>
      <c r="C71" s="127"/>
      <c r="D71" s="160"/>
      <c r="E71" s="184"/>
      <c r="F71" s="164"/>
      <c r="G71" s="164"/>
      <c r="H71" s="164"/>
      <c r="I71" s="164"/>
      <c r="J71" s="164"/>
    </row>
    <row r="72" spans="1:10" x14ac:dyDescent="0.3">
      <c r="A72" s="127">
        <v>8210</v>
      </c>
      <c r="B72" s="132" t="s">
        <v>820</v>
      </c>
      <c r="C72" s="127"/>
      <c r="D72" s="160">
        <f>SUM(D74,D78)</f>
        <v>0</v>
      </c>
      <c r="E72" s="160">
        <f>SUM(E74,E78)</f>
        <v>0</v>
      </c>
      <c r="F72" s="161">
        <f>SUM(F74,F78)</f>
        <v>0</v>
      </c>
      <c r="G72" s="161">
        <f t="shared" ref="G72:J72" si="18">SUM(G74,G78)</f>
        <v>0</v>
      </c>
      <c r="H72" s="161">
        <f t="shared" si="18"/>
        <v>0</v>
      </c>
      <c r="I72" s="161">
        <f t="shared" si="18"/>
        <v>0</v>
      </c>
      <c r="J72" s="161">
        <f t="shared" si="18"/>
        <v>0</v>
      </c>
    </row>
    <row r="73" spans="1:10" x14ac:dyDescent="0.3">
      <c r="A73" s="127"/>
      <c r="B73" s="132" t="s">
        <v>154</v>
      </c>
      <c r="C73" s="127"/>
      <c r="D73" s="160"/>
      <c r="E73" s="163"/>
      <c r="F73" s="164"/>
      <c r="G73" s="164"/>
      <c r="H73" s="164"/>
      <c r="I73" s="164"/>
      <c r="J73" s="164"/>
    </row>
    <row r="74" spans="1:10" ht="33" x14ac:dyDescent="0.3">
      <c r="A74" s="127">
        <v>8211</v>
      </c>
      <c r="B74" s="128" t="s">
        <v>773</v>
      </c>
      <c r="C74" s="127"/>
      <c r="D74" s="160">
        <f>SUM(D76:D77)</f>
        <v>0</v>
      </c>
      <c r="E74" s="163" t="s">
        <v>774</v>
      </c>
      <c r="F74" s="161">
        <f>SUM(F76:F77)</f>
        <v>0</v>
      </c>
      <c r="G74" s="161">
        <f t="shared" ref="G74:J74" si="19">SUM(G76:G77)</f>
        <v>0</v>
      </c>
      <c r="H74" s="161">
        <f t="shared" si="19"/>
        <v>0</v>
      </c>
      <c r="I74" s="161">
        <f t="shared" si="19"/>
        <v>0</v>
      </c>
      <c r="J74" s="161">
        <f t="shared" si="19"/>
        <v>0</v>
      </c>
    </row>
    <row r="75" spans="1:10" x14ac:dyDescent="0.3">
      <c r="A75" s="127"/>
      <c r="B75" s="128" t="s">
        <v>156</v>
      </c>
      <c r="C75" s="127"/>
      <c r="D75" s="160"/>
      <c r="E75" s="163"/>
      <c r="F75" s="164"/>
      <c r="G75" s="130"/>
      <c r="H75" s="130"/>
      <c r="I75" s="130"/>
      <c r="J75" s="130"/>
    </row>
    <row r="76" spans="1:10" ht="17.25" thickBot="1" x14ac:dyDescent="0.35">
      <c r="A76" s="127">
        <v>8212</v>
      </c>
      <c r="B76" s="134" t="s">
        <v>775</v>
      </c>
      <c r="C76" s="135" t="s">
        <v>821</v>
      </c>
      <c r="D76" s="165">
        <f>SUM(E76:F76)</f>
        <v>0</v>
      </c>
      <c r="E76" s="163" t="s">
        <v>774</v>
      </c>
      <c r="F76" s="164"/>
      <c r="G76" s="130"/>
      <c r="H76" s="130"/>
      <c r="I76" s="130"/>
      <c r="J76" s="130"/>
    </row>
    <row r="77" spans="1:10" ht="17.25" thickBot="1" x14ac:dyDescent="0.35">
      <c r="A77" s="127">
        <v>8213</v>
      </c>
      <c r="B77" s="134" t="s">
        <v>777</v>
      </c>
      <c r="C77" s="135" t="s">
        <v>822</v>
      </c>
      <c r="D77" s="165">
        <f>SUM(E77:F77)</f>
        <v>0</v>
      </c>
      <c r="E77" s="163" t="s">
        <v>774</v>
      </c>
      <c r="F77" s="164"/>
      <c r="G77" s="130"/>
      <c r="H77" s="130"/>
      <c r="I77" s="130"/>
      <c r="J77" s="130"/>
    </row>
    <row r="78" spans="1:10" ht="33" x14ac:dyDescent="0.3">
      <c r="A78" s="127">
        <v>8220</v>
      </c>
      <c r="B78" s="128" t="s">
        <v>823</v>
      </c>
      <c r="C78" s="127"/>
      <c r="D78" s="160">
        <f>SUM(D80,D84)</f>
        <v>0</v>
      </c>
      <c r="E78" s="160">
        <f>SUM(E80,E84)</f>
        <v>0</v>
      </c>
      <c r="F78" s="161">
        <f>SUM(F80,F84)</f>
        <v>0</v>
      </c>
      <c r="G78" s="161">
        <f t="shared" ref="G78:J78" si="20">SUM(G80,G84)</f>
        <v>0</v>
      </c>
      <c r="H78" s="161">
        <f t="shared" si="20"/>
        <v>0</v>
      </c>
      <c r="I78" s="161">
        <f t="shared" si="20"/>
        <v>0</v>
      </c>
      <c r="J78" s="161">
        <f t="shared" si="20"/>
        <v>0</v>
      </c>
    </row>
    <row r="79" spans="1:10" x14ac:dyDescent="0.3">
      <c r="A79" s="127"/>
      <c r="B79" s="128" t="s">
        <v>154</v>
      </c>
      <c r="C79" s="127"/>
      <c r="D79" s="160"/>
      <c r="E79" s="184"/>
      <c r="F79" s="164"/>
      <c r="G79" s="164"/>
      <c r="H79" s="164"/>
      <c r="I79" s="164"/>
      <c r="J79" s="164"/>
    </row>
    <row r="80" spans="1:10" x14ac:dyDescent="0.3">
      <c r="A80" s="127">
        <v>8221</v>
      </c>
      <c r="B80" s="128" t="s">
        <v>780</v>
      </c>
      <c r="C80" s="127"/>
      <c r="D80" s="160">
        <f>SUM(D82:D83)</f>
        <v>0</v>
      </c>
      <c r="E80" s="163" t="s">
        <v>774</v>
      </c>
      <c r="F80" s="161">
        <f>SUM(F82:F83)</f>
        <v>0</v>
      </c>
      <c r="G80" s="161">
        <f t="shared" ref="G80:J80" si="21">SUM(G82:G83)</f>
        <v>0</v>
      </c>
      <c r="H80" s="161">
        <f t="shared" si="21"/>
        <v>0</v>
      </c>
      <c r="I80" s="161">
        <f t="shared" si="21"/>
        <v>0</v>
      </c>
      <c r="J80" s="161">
        <f t="shared" si="21"/>
        <v>0</v>
      </c>
    </row>
    <row r="81" spans="1:10" x14ac:dyDescent="0.3">
      <c r="A81" s="127"/>
      <c r="B81" s="128" t="s">
        <v>451</v>
      </c>
      <c r="C81" s="127"/>
      <c r="D81" s="160"/>
      <c r="E81" s="163"/>
      <c r="F81" s="164"/>
      <c r="G81" s="130"/>
      <c r="H81" s="130"/>
      <c r="I81" s="130"/>
      <c r="J81" s="130"/>
    </row>
    <row r="82" spans="1:10" ht="17.25" thickBot="1" x14ac:dyDescent="0.35">
      <c r="A82" s="127">
        <v>8222</v>
      </c>
      <c r="B82" s="132" t="s">
        <v>781</v>
      </c>
      <c r="C82" s="135" t="s">
        <v>824</v>
      </c>
      <c r="D82" s="165">
        <f>SUM(E82:F82)</f>
        <v>0</v>
      </c>
      <c r="E82" s="163" t="s">
        <v>774</v>
      </c>
      <c r="F82" s="164"/>
      <c r="G82" s="130"/>
      <c r="H82" s="130"/>
      <c r="I82" s="130"/>
      <c r="J82" s="130"/>
    </row>
    <row r="83" spans="1:10" ht="17.25" thickBot="1" x14ac:dyDescent="0.35">
      <c r="A83" s="127">
        <v>8230</v>
      </c>
      <c r="B83" s="132" t="s">
        <v>785</v>
      </c>
      <c r="C83" s="135" t="s">
        <v>825</v>
      </c>
      <c r="D83" s="165">
        <f>SUM(E83:F83)</f>
        <v>0</v>
      </c>
      <c r="E83" s="163" t="s">
        <v>774</v>
      </c>
      <c r="F83" s="164"/>
      <c r="G83" s="130"/>
      <c r="H83" s="130"/>
      <c r="I83" s="130"/>
      <c r="J83" s="130"/>
    </row>
    <row r="84" spans="1:10" x14ac:dyDescent="0.3">
      <c r="A84" s="127">
        <v>8240</v>
      </c>
      <c r="B84" s="128" t="s">
        <v>789</v>
      </c>
      <c r="C84" s="127"/>
      <c r="D84" s="160">
        <f>SUM(D86:D87)</f>
        <v>0</v>
      </c>
      <c r="E84" s="160">
        <f>SUM(E86:E87)</f>
        <v>0</v>
      </c>
      <c r="F84" s="161">
        <f>SUM(F86:F87)</f>
        <v>0</v>
      </c>
      <c r="G84" s="161">
        <f t="shared" ref="G84:J84" si="22">SUM(G86:G87)</f>
        <v>0</v>
      </c>
      <c r="H84" s="161">
        <f t="shared" si="22"/>
        <v>0</v>
      </c>
      <c r="I84" s="161">
        <f t="shared" si="22"/>
        <v>0</v>
      </c>
      <c r="J84" s="161">
        <f t="shared" si="22"/>
        <v>0</v>
      </c>
    </row>
    <row r="85" spans="1:10" x14ac:dyDescent="0.3">
      <c r="A85" s="127"/>
      <c r="B85" s="128" t="s">
        <v>451</v>
      </c>
      <c r="C85" s="127"/>
      <c r="D85" s="160"/>
      <c r="E85" s="184"/>
      <c r="F85" s="164"/>
      <c r="G85" s="130"/>
      <c r="H85" s="130"/>
      <c r="I85" s="130"/>
      <c r="J85" s="130"/>
    </row>
    <row r="86" spans="1:10" ht="17.25" thickBot="1" x14ac:dyDescent="0.35">
      <c r="A86" s="127">
        <v>8241</v>
      </c>
      <c r="B86" s="132" t="s">
        <v>826</v>
      </c>
      <c r="C86" s="135" t="s">
        <v>824</v>
      </c>
      <c r="D86" s="165">
        <f>SUM(E86:F86)</f>
        <v>0</v>
      </c>
      <c r="E86" s="184"/>
      <c r="F86" s="164" t="s">
        <v>0</v>
      </c>
      <c r="G86" s="130"/>
      <c r="H86" s="130"/>
      <c r="I86" s="130"/>
      <c r="J86" s="130"/>
    </row>
    <row r="87" spans="1:10" ht="17.25" thickBot="1" x14ac:dyDescent="0.35">
      <c r="A87" s="127">
        <v>8250</v>
      </c>
      <c r="B87" s="132" t="s">
        <v>793</v>
      </c>
      <c r="C87" s="135" t="s">
        <v>825</v>
      </c>
      <c r="D87" s="165">
        <f>SUM(E87:F87)</f>
        <v>0</v>
      </c>
      <c r="E87" s="185"/>
      <c r="F87" s="186" t="s">
        <v>0</v>
      </c>
      <c r="G87" s="130"/>
      <c r="H87" s="130"/>
      <c r="I87" s="130"/>
      <c r="J87" s="130"/>
    </row>
  </sheetData>
  <protectedRanges>
    <protectedRange sqref="F77" name="Range23_1"/>
    <protectedRange sqref="F55:J55" name="Range21_1"/>
    <protectedRange sqref="E68:F69 F76:F77 F82:F83 E86:E87 D85:F85 D81:F81 D75:F75 D79:J79 D71:J71 D73:J73" name="Range5_1"/>
    <protectedRange sqref="E43:E44 D49 F33:J34 D36:J36 D38:J38 D32:J32 G39:J40 G42:J44 D46:J46 F49:J51 D48:J48 E39:E40 D42:F42" name="Range3_1"/>
    <protectedRange sqref="F21:J22 D24:J24 F29:J30 D28:J28 D26:J26 D20:J20 D16:J16 D14:J14" name="Range2_1"/>
    <protectedRange sqref="E54:J55 D57:J57 D53:J53 G58:J60 D59:J59 D63:J63 E58:E60 F64:F67 G64:J65" name="Range4_1"/>
    <protectedRange sqref="F54:J54" name="Range20_1"/>
    <protectedRange sqref="F49:J49" name="Range22_1"/>
    <protectedRange sqref="D18:J18" name="Range2_2_1"/>
  </protectedRanges>
  <mergeCells count="10">
    <mergeCell ref="G3:J3"/>
    <mergeCell ref="G4:J4"/>
    <mergeCell ref="G2:J2"/>
    <mergeCell ref="G5:J5"/>
    <mergeCell ref="E6:I6"/>
    <mergeCell ref="A8:J8"/>
    <mergeCell ref="A9:J9"/>
    <mergeCell ref="D10:D11"/>
    <mergeCell ref="E10:F10"/>
    <mergeCell ref="G10:J10"/>
  </mergeCells>
  <pageMargins left="0.59055118110236227" right="0" top="0.23622047244094491" bottom="0.23622047244094491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1. Ekamutner</vt:lpstr>
      <vt:lpstr>2.Gorcarakan tsaxs</vt:lpstr>
      <vt:lpstr>3.Tntesagitakan tsaxs</vt:lpstr>
      <vt:lpstr>4.Gorcarakan ev tntesagitakan</vt:lpstr>
      <vt:lpstr>5.Devicit </vt:lpstr>
      <vt:lpstr>6.Havelurd 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https://mul2.gyumricity.am/tasks/18961/oneclick/Budjei havelvac 2022hunis (22.07.2022 verjnakan.xlsx?token=1bb7b28edd328859639f3152a96aa319</cp:keywords>
  <cp:lastModifiedBy>Arpine Khachatryan</cp:lastModifiedBy>
  <cp:lastPrinted>2025-08-19T09:36:51Z</cp:lastPrinted>
  <dcterms:created xsi:type="dcterms:W3CDTF">2014-12-23T06:44:04Z</dcterms:created>
  <dcterms:modified xsi:type="dcterms:W3CDTF">2025-08-21T13:53:14Z</dcterms:modified>
</cp:coreProperties>
</file>