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122-N\"/>
    </mc:Choice>
  </mc:AlternateContent>
  <xr:revisionPtr revIDLastSave="0" documentId="13_ncr:1_{48A1DDA0-C31C-49C8-A073-2B1E0F2CF1C1}" xr6:coauthVersionLast="47" xr6:coauthVersionMax="47" xr10:uidLastSave="{00000000-0000-0000-0000-000000000000}"/>
  <bookViews>
    <workbookView xWindow="4680" yWindow="3075" windowWidth="21600" windowHeight="11385" activeTab="5" xr2:uid="{00000000-000D-0000-FFFF-FFFF00000000}"/>
  </bookViews>
  <sheets>
    <sheet name="1. Ekamutner" sheetId="9" r:id="rId1"/>
    <sheet name="2.Gorcarakan tsaxs" sheetId="3" r:id="rId2"/>
    <sheet name="3.Tntesagitakan tsaxs" sheetId="4" r:id="rId3"/>
    <sheet name="5.Devicit " sheetId="15" state="hidden" r:id="rId4"/>
    <sheet name="6.Havelurd " sheetId="16" state="hidden" r:id="rId5"/>
    <sheet name="4.Gorcarakan ev tntesagitakan" sheetId="7" r:id="rId6"/>
  </sheets>
  <definedNames>
    <definedName name="_xlnm._FilterDatabase" localSheetId="0" hidden="1">'1. Ekamutner'!$A$15:$J$130</definedName>
    <definedName name="_xlnm._FilterDatabase" localSheetId="2" hidden="1">'3.Tntesagitakan tsaxs'!$A$16:$Q$236</definedName>
    <definedName name="_xlnm._FilterDatabase" localSheetId="5" hidden="1">'4.Gorcarakan ev tntesagitakan'!$A$14:$V$779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5">'4.Gorcarakan ev tntesagitakan'!$A$1:$M$779</definedName>
  </definedNames>
  <calcPr calcId="191029"/>
</workbook>
</file>

<file path=xl/calcChain.xml><?xml version="1.0" encoding="utf-8"?>
<calcChain xmlns="http://schemas.openxmlformats.org/spreadsheetml/2006/main">
  <c r="G362" i="7" l="1"/>
  <c r="M362" i="7" s="1"/>
  <c r="G363" i="7"/>
  <c r="M363" i="7" s="1"/>
  <c r="L460" i="7"/>
  <c r="I460" i="7"/>
  <c r="L464" i="7"/>
  <c r="I464" i="7"/>
  <c r="F74" i="9"/>
  <c r="K20" i="4"/>
  <c r="K22" i="4"/>
  <c r="K24" i="4"/>
  <c r="K27" i="4"/>
  <c r="K29" i="4"/>
  <c r="K32" i="4"/>
  <c r="K35" i="4"/>
  <c r="K37" i="4"/>
  <c r="K38" i="4"/>
  <c r="K46" i="4"/>
  <c r="K51" i="4"/>
  <c r="K52" i="4"/>
  <c r="K54" i="4"/>
  <c r="K56" i="4"/>
  <c r="K57" i="4"/>
  <c r="K61" i="4"/>
  <c r="K64" i="4"/>
  <c r="K68" i="4"/>
  <c r="K71" i="4"/>
  <c r="K73" i="4"/>
  <c r="K74" i="4"/>
  <c r="K75" i="4"/>
  <c r="K78" i="4"/>
  <c r="K80" i="4"/>
  <c r="K81" i="4"/>
  <c r="K84" i="4"/>
  <c r="K85" i="4"/>
  <c r="K86" i="4"/>
  <c r="K88" i="4"/>
  <c r="K89" i="4"/>
  <c r="K90" i="4"/>
  <c r="K91" i="4"/>
  <c r="K93" i="4"/>
  <c r="K95" i="4"/>
  <c r="K99" i="4"/>
  <c r="K101" i="4"/>
  <c r="K103" i="4"/>
  <c r="K105" i="4"/>
  <c r="K106" i="4"/>
  <c r="K107" i="4"/>
  <c r="K109" i="4"/>
  <c r="K110" i="4"/>
  <c r="K111" i="4"/>
  <c r="K113" i="4"/>
  <c r="K115" i="4"/>
  <c r="K116" i="4"/>
  <c r="K117" i="4"/>
  <c r="K119" i="4"/>
  <c r="K124" i="4"/>
  <c r="K125" i="4"/>
  <c r="K126" i="4"/>
  <c r="K127" i="4"/>
  <c r="K128" i="4"/>
  <c r="K130" i="4"/>
  <c r="K135" i="4"/>
  <c r="K137" i="4"/>
  <c r="K138" i="4"/>
  <c r="K139" i="4"/>
  <c r="K141" i="4"/>
  <c r="K142" i="4"/>
  <c r="K147" i="4"/>
  <c r="K150" i="4"/>
  <c r="K152" i="4"/>
  <c r="K156" i="4"/>
  <c r="K157" i="4"/>
  <c r="K159" i="4"/>
  <c r="K160" i="4"/>
  <c r="K162" i="4"/>
  <c r="K163" i="4"/>
  <c r="K165" i="4"/>
  <c r="K166" i="4"/>
  <c r="K167" i="4"/>
  <c r="K169" i="4"/>
  <c r="K172" i="4"/>
  <c r="K175" i="4"/>
  <c r="K179" i="4"/>
  <c r="K181" i="4"/>
  <c r="K183" i="4"/>
  <c r="K188" i="4"/>
  <c r="K193" i="4"/>
  <c r="K195" i="4"/>
  <c r="K196" i="4"/>
  <c r="K199" i="4"/>
  <c r="K205" i="4"/>
  <c r="K208" i="4"/>
  <c r="K210" i="4"/>
  <c r="K211" i="4"/>
  <c r="K212" i="4"/>
  <c r="K214" i="4"/>
  <c r="K216" i="4"/>
  <c r="K221" i="4"/>
  <c r="K224" i="4"/>
  <c r="K229" i="4"/>
  <c r="K232" i="4"/>
  <c r="I286" i="7" l="1"/>
  <c r="G219" i="4"/>
  <c r="L286" i="7"/>
  <c r="K286" i="7"/>
  <c r="J286" i="7"/>
  <c r="K460" i="7"/>
  <c r="J460" i="7"/>
  <c r="F219" i="4"/>
  <c r="I219" i="4"/>
  <c r="H219" i="4"/>
  <c r="I288" i="7"/>
  <c r="I463" i="7"/>
  <c r="J348" i="7"/>
  <c r="K348" i="7"/>
  <c r="L348" i="7"/>
  <c r="E128" i="9" l="1"/>
  <c r="G288" i="7" l="1"/>
  <c r="G287" i="7"/>
  <c r="M287" i="7" s="1"/>
  <c r="G286" i="7"/>
  <c r="G285" i="7"/>
  <c r="M285" i="7" s="1"/>
  <c r="G284" i="7"/>
  <c r="H283" i="7"/>
  <c r="G283" i="7" s="1"/>
  <c r="L283" i="7" l="1"/>
  <c r="M283" i="7"/>
  <c r="M286" i="7"/>
  <c r="M284" i="7"/>
  <c r="M288" i="7"/>
  <c r="G409" i="7" l="1"/>
  <c r="I779" i="7"/>
  <c r="H98" i="7"/>
  <c r="I776" i="7" l="1"/>
  <c r="M779" i="7"/>
  <c r="M409" i="7"/>
  <c r="G49" i="7"/>
  <c r="G50" i="7"/>
  <c r="F194" i="4"/>
  <c r="H20" i="7"/>
  <c r="H18" i="7" s="1"/>
  <c r="G45" i="7"/>
  <c r="G46" i="7"/>
  <c r="G47" i="7"/>
  <c r="G48" i="7"/>
  <c r="I20" i="7"/>
  <c r="I18" i="7" s="1"/>
  <c r="H399" i="7"/>
  <c r="I408" i="7"/>
  <c r="I406" i="7"/>
  <c r="I99" i="7"/>
  <c r="I399" i="7" l="1"/>
  <c r="F197" i="4"/>
  <c r="M50" i="7"/>
  <c r="M49" i="7"/>
  <c r="E85" i="9"/>
  <c r="E82" i="9"/>
  <c r="E23" i="9"/>
  <c r="E21" i="9"/>
  <c r="D209" i="4" l="1"/>
  <c r="F209" i="4"/>
  <c r="G209" i="4"/>
  <c r="H209" i="4"/>
  <c r="I209" i="4"/>
  <c r="J209" i="4"/>
  <c r="E44" i="4"/>
  <c r="G200" i="4"/>
  <c r="H200" i="4"/>
  <c r="I200" i="4"/>
  <c r="J200" i="4"/>
  <c r="K200" i="4" s="1"/>
  <c r="G201" i="4"/>
  <c r="H201" i="4"/>
  <c r="I201" i="4"/>
  <c r="J201" i="4"/>
  <c r="K201" i="4" s="1"/>
  <c r="G202" i="4"/>
  <c r="H202" i="4"/>
  <c r="I202" i="4"/>
  <c r="J202" i="4"/>
  <c r="K202" i="4" s="1"/>
  <c r="G203" i="4"/>
  <c r="H203" i="4"/>
  <c r="I203" i="4"/>
  <c r="J203" i="4"/>
  <c r="K203" i="4" s="1"/>
  <c r="G206" i="4"/>
  <c r="G204" i="4" s="1"/>
  <c r="H206" i="4"/>
  <c r="H204" i="4" s="1"/>
  <c r="I206" i="4"/>
  <c r="I204" i="4" s="1"/>
  <c r="J206" i="4"/>
  <c r="J30" i="4"/>
  <c r="J28" i="4" s="1"/>
  <c r="J33" i="4"/>
  <c r="J31" i="4" s="1"/>
  <c r="J49" i="4"/>
  <c r="K49" i="4" s="1"/>
  <c r="J83" i="4"/>
  <c r="J87" i="4"/>
  <c r="J97" i="4"/>
  <c r="K97" i="4" s="1"/>
  <c r="J104" i="4"/>
  <c r="J108" i="4"/>
  <c r="J120" i="4"/>
  <c r="J118" i="4" s="1"/>
  <c r="J121" i="4"/>
  <c r="J122" i="4"/>
  <c r="J129" i="4"/>
  <c r="J136" i="4"/>
  <c r="G148" i="4"/>
  <c r="G146" i="4" s="1"/>
  <c r="H148" i="4"/>
  <c r="H146" i="4" s="1"/>
  <c r="I148" i="4"/>
  <c r="I146" i="4" s="1"/>
  <c r="J148" i="4"/>
  <c r="G153" i="4"/>
  <c r="H153" i="4"/>
  <c r="I153" i="4"/>
  <c r="J153" i="4"/>
  <c r="K153" i="4" s="1"/>
  <c r="G161" i="4"/>
  <c r="H161" i="4"/>
  <c r="I161" i="4"/>
  <c r="J161" i="4"/>
  <c r="G164" i="4"/>
  <c r="H164" i="4"/>
  <c r="I164" i="4"/>
  <c r="J164" i="4"/>
  <c r="K209" i="4" l="1"/>
  <c r="J146" i="4"/>
  <c r="K148" i="4"/>
  <c r="J204" i="4"/>
  <c r="K206" i="4"/>
  <c r="G198" i="4"/>
  <c r="J207" i="4"/>
  <c r="G207" i="4"/>
  <c r="H207" i="4"/>
  <c r="I207" i="4"/>
  <c r="I198" i="4"/>
  <c r="J198" i="4"/>
  <c r="H198" i="4"/>
  <c r="J123" i="4"/>
  <c r="M462" i="7" l="1"/>
  <c r="M461" i="7"/>
  <c r="M459" i="7"/>
  <c r="M48" i="7"/>
  <c r="M47" i="7"/>
  <c r="M45" i="7"/>
  <c r="M43" i="7"/>
  <c r="M42" i="7"/>
  <c r="J51" i="9"/>
  <c r="I51" i="9"/>
  <c r="H51" i="9"/>
  <c r="G51" i="9"/>
  <c r="F186" i="4" l="1"/>
  <c r="H103" i="7"/>
  <c r="I103" i="7"/>
  <c r="E114" i="4"/>
  <c r="G617" i="7"/>
  <c r="G113" i="7"/>
  <c r="G112" i="7"/>
  <c r="G44" i="7"/>
  <c r="H569" i="7"/>
  <c r="I569" i="7"/>
  <c r="G573" i="7"/>
  <c r="G402" i="7"/>
  <c r="G403" i="7"/>
  <c r="G404" i="7"/>
  <c r="G405" i="7"/>
  <c r="G406" i="7"/>
  <c r="G407" i="7"/>
  <c r="G408" i="7"/>
  <c r="D194" i="4" l="1"/>
  <c r="G194" i="4"/>
  <c r="M407" i="7"/>
  <c r="J194" i="4" s="1"/>
  <c r="H194" i="4"/>
  <c r="I194" i="4"/>
  <c r="M44" i="7"/>
  <c r="G70" i="4"/>
  <c r="H70" i="4"/>
  <c r="I70" i="4"/>
  <c r="M403" i="7"/>
  <c r="J70" i="4" s="1"/>
  <c r="M408" i="7"/>
  <c r="M404" i="7"/>
  <c r="M405" i="7"/>
  <c r="M406" i="7"/>
  <c r="M402" i="7"/>
  <c r="M573" i="7"/>
  <c r="D114" i="4"/>
  <c r="J112" i="7"/>
  <c r="G114" i="4" s="1"/>
  <c r="K112" i="7"/>
  <c r="H114" i="4" s="1"/>
  <c r="M112" i="7"/>
  <c r="J114" i="4" s="1"/>
  <c r="J112" i="4" s="1"/>
  <c r="J102" i="4" s="1"/>
  <c r="L112" i="7"/>
  <c r="I114" i="4" s="1"/>
  <c r="K194" i="4" l="1"/>
  <c r="K114" i="4"/>
  <c r="D233" i="4"/>
  <c r="D219" i="4"/>
  <c r="G463" i="7"/>
  <c r="G76" i="16"/>
  <c r="H76" i="16"/>
  <c r="I76" i="16"/>
  <c r="J76" i="16"/>
  <c r="G82" i="16"/>
  <c r="H82" i="16"/>
  <c r="I82" i="16"/>
  <c r="J82" i="16"/>
  <c r="G86" i="16"/>
  <c r="H86" i="16"/>
  <c r="I86" i="16"/>
  <c r="J86" i="16"/>
  <c r="J64" i="16"/>
  <c r="I64" i="16"/>
  <c r="H64" i="16"/>
  <c r="G64" i="16"/>
  <c r="J63" i="16"/>
  <c r="J58" i="16" s="1"/>
  <c r="I63" i="16"/>
  <c r="I58" i="16" s="1"/>
  <c r="H63" i="16"/>
  <c r="H58" i="16" s="1"/>
  <c r="H47" i="16" s="1"/>
  <c r="G63" i="16"/>
  <c r="G58" i="16" s="1"/>
  <c r="G49" i="16"/>
  <c r="H49" i="16"/>
  <c r="I49" i="16"/>
  <c r="J49" i="16"/>
  <c r="G54" i="16"/>
  <c r="H54" i="16"/>
  <c r="I54" i="16"/>
  <c r="J54" i="16"/>
  <c r="H43" i="16"/>
  <c r="I43" i="16"/>
  <c r="J43" i="16"/>
  <c r="G43" i="16"/>
  <c r="J39" i="16"/>
  <c r="I39" i="16"/>
  <c r="H39" i="16"/>
  <c r="G39" i="16"/>
  <c r="G37" i="16"/>
  <c r="J33" i="16"/>
  <c r="I33" i="16"/>
  <c r="I27" i="16" s="1"/>
  <c r="H33" i="16"/>
  <c r="H27" i="16" s="1"/>
  <c r="G33" i="16"/>
  <c r="G27" i="16" s="1"/>
  <c r="G25" i="16" s="1"/>
  <c r="J29" i="16"/>
  <c r="J27" i="16" s="1"/>
  <c r="I29" i="16"/>
  <c r="H29" i="16"/>
  <c r="G29" i="16"/>
  <c r="J21" i="16"/>
  <c r="I21" i="16"/>
  <c r="H21" i="16"/>
  <c r="G21" i="16"/>
  <c r="D89" i="16"/>
  <c r="D88" i="16"/>
  <c r="D86" i="16" s="1"/>
  <c r="F86" i="16"/>
  <c r="E86" i="16"/>
  <c r="D85" i="16"/>
  <c r="D84" i="16"/>
  <c r="D82" i="16" s="1"/>
  <c r="D80" i="16" s="1"/>
  <c r="F82" i="16"/>
  <c r="F80" i="16"/>
  <c r="E80" i="16"/>
  <c r="E74" i="16" s="1"/>
  <c r="E72" i="16" s="1"/>
  <c r="D79" i="16"/>
  <c r="D78" i="16"/>
  <c r="F76" i="16"/>
  <c r="D71" i="16"/>
  <c r="D70" i="16"/>
  <c r="D69" i="16"/>
  <c r="D67" i="16"/>
  <c r="D66" i="16"/>
  <c r="F64" i="16"/>
  <c r="F58" i="16" s="1"/>
  <c r="E64" i="16"/>
  <c r="E63" i="16"/>
  <c r="D62" i="16"/>
  <c r="D60" i="16"/>
  <c r="D57" i="16"/>
  <c r="D56" i="16"/>
  <c r="F54" i="16"/>
  <c r="E54" i="16"/>
  <c r="D53" i="16"/>
  <c r="D52" i="16"/>
  <c r="F49" i="16"/>
  <c r="D46" i="16"/>
  <c r="D45" i="16"/>
  <c r="F43" i="16"/>
  <c r="E43" i="16"/>
  <c r="D42" i="16"/>
  <c r="D41" i="16"/>
  <c r="F39" i="16"/>
  <c r="E39" i="16"/>
  <c r="D36" i="16"/>
  <c r="D35" i="16"/>
  <c r="F33" i="16"/>
  <c r="D32" i="16"/>
  <c r="D31" i="16"/>
  <c r="F29" i="16"/>
  <c r="D29" i="16"/>
  <c r="D24" i="16"/>
  <c r="D23" i="16"/>
  <c r="D21" i="16" s="1"/>
  <c r="F21" i="16"/>
  <c r="E58" i="9"/>
  <c r="G21" i="7"/>
  <c r="G751" i="7"/>
  <c r="G750" i="7"/>
  <c r="G749" i="7"/>
  <c r="G741" i="7"/>
  <c r="G730" i="7"/>
  <c r="G724" i="7"/>
  <c r="G693" i="7"/>
  <c r="G643" i="7"/>
  <c r="G634" i="7"/>
  <c r="G616" i="7"/>
  <c r="G594" i="7"/>
  <c r="G593" i="7"/>
  <c r="G592" i="7"/>
  <c r="G591" i="7"/>
  <c r="G571" i="7"/>
  <c r="G572" i="7"/>
  <c r="G566" i="7"/>
  <c r="G565" i="7"/>
  <c r="G561" i="7"/>
  <c r="G560" i="7"/>
  <c r="G559" i="7"/>
  <c r="G553" i="7"/>
  <c r="G552" i="7"/>
  <c r="G551" i="7"/>
  <c r="G550" i="7"/>
  <c r="G549" i="7"/>
  <c r="G548" i="7"/>
  <c r="G547" i="7"/>
  <c r="G546" i="7"/>
  <c r="G464" i="7"/>
  <c r="G460" i="7"/>
  <c r="G458" i="7"/>
  <c r="G457" i="7"/>
  <c r="G456" i="7"/>
  <c r="G455" i="7"/>
  <c r="G454" i="7"/>
  <c r="G453" i="7"/>
  <c r="G452" i="7"/>
  <c r="G451" i="7"/>
  <c r="G450" i="7"/>
  <c r="G439" i="7"/>
  <c r="G438" i="7"/>
  <c r="G437" i="7"/>
  <c r="G436" i="7"/>
  <c r="G435" i="7"/>
  <c r="G434" i="7"/>
  <c r="G401" i="7"/>
  <c r="G372" i="7"/>
  <c r="G371" i="7"/>
  <c r="G370" i="7"/>
  <c r="G369" i="7"/>
  <c r="G368" i="7"/>
  <c r="G367" i="7"/>
  <c r="G366" i="7"/>
  <c r="G364" i="7"/>
  <c r="G361" i="7"/>
  <c r="G365" i="7"/>
  <c r="G360" i="7"/>
  <c r="G160" i="7"/>
  <c r="G159" i="7"/>
  <c r="G158" i="7"/>
  <c r="G162" i="7"/>
  <c r="G106" i="7"/>
  <c r="G22" i="7"/>
  <c r="G23" i="7"/>
  <c r="G24" i="7"/>
  <c r="G25" i="7"/>
  <c r="G26" i="7"/>
  <c r="G27" i="7"/>
  <c r="G28" i="7"/>
  <c r="G29" i="7"/>
  <c r="D47" i="4" s="1"/>
  <c r="G30" i="7"/>
  <c r="G31" i="7"/>
  <c r="G32" i="7"/>
  <c r="G33" i="7"/>
  <c r="G34" i="7"/>
  <c r="G35" i="7"/>
  <c r="G36" i="7"/>
  <c r="G37" i="7"/>
  <c r="G38" i="7"/>
  <c r="G39" i="7"/>
  <c r="G40" i="7"/>
  <c r="G41" i="7"/>
  <c r="G105" i="7"/>
  <c r="G109" i="7"/>
  <c r="G99" i="7"/>
  <c r="G98" i="7"/>
  <c r="J68" i="7"/>
  <c r="K68" i="7"/>
  <c r="L68" i="7"/>
  <c r="E26" i="4"/>
  <c r="E53" i="4"/>
  <c r="D46" i="9"/>
  <c r="D45" i="9"/>
  <c r="G19" i="16" l="1"/>
  <c r="E58" i="16"/>
  <c r="D49" i="16"/>
  <c r="I37" i="16"/>
  <c r="E37" i="16"/>
  <c r="E25" i="16" s="1"/>
  <c r="E19" i="16" s="1"/>
  <c r="F37" i="16"/>
  <c r="D39" i="16"/>
  <c r="F74" i="16"/>
  <c r="F72" i="16" s="1"/>
  <c r="J46" i="9"/>
  <c r="G46" i="9"/>
  <c r="H46" i="9"/>
  <c r="I46" i="9"/>
  <c r="J45" i="9"/>
  <c r="G45" i="9"/>
  <c r="H45" i="9"/>
  <c r="I45" i="9"/>
  <c r="D63" i="16"/>
  <c r="M458" i="7"/>
  <c r="J100" i="4" s="1"/>
  <c r="J98" i="4" s="1"/>
  <c r="G399" i="7"/>
  <c r="L399" i="7"/>
  <c r="K399" i="7"/>
  <c r="D59" i="4"/>
  <c r="D197" i="4"/>
  <c r="G20" i="7"/>
  <c r="J233" i="4"/>
  <c r="K233" i="4" s="1"/>
  <c r="J219" i="4"/>
  <c r="K219" i="4" s="1"/>
  <c r="M105" i="7"/>
  <c r="G53" i="4"/>
  <c r="H53" i="4"/>
  <c r="I53" i="4"/>
  <c r="M31" i="7"/>
  <c r="J53" i="4" s="1"/>
  <c r="M23" i="7"/>
  <c r="D191" i="4"/>
  <c r="M372" i="7"/>
  <c r="M450" i="7"/>
  <c r="J547" i="7"/>
  <c r="K547" i="7"/>
  <c r="L547" i="7"/>
  <c r="M547" i="7"/>
  <c r="M560" i="7"/>
  <c r="M21" i="7"/>
  <c r="G82" i="4"/>
  <c r="H82" i="4"/>
  <c r="I82" i="4"/>
  <c r="M109" i="7"/>
  <c r="J82" i="4" s="1"/>
  <c r="J79" i="4" s="1"/>
  <c r="J77" i="4" s="1"/>
  <c r="M40" i="7"/>
  <c r="M36" i="7"/>
  <c r="G55" i="4"/>
  <c r="M32" i="7"/>
  <c r="J55" i="4" s="1"/>
  <c r="H55" i="4"/>
  <c r="I55" i="4"/>
  <c r="D44" i="4"/>
  <c r="G44" i="4"/>
  <c r="H44" i="4"/>
  <c r="I44" i="4"/>
  <c r="M28" i="7"/>
  <c r="J44" i="4" s="1"/>
  <c r="G40" i="4"/>
  <c r="H40" i="4"/>
  <c r="M24" i="7"/>
  <c r="J40" i="4" s="1"/>
  <c r="I40" i="4"/>
  <c r="J162" i="7"/>
  <c r="K162" i="7"/>
  <c r="M162" i="7"/>
  <c r="L162" i="7"/>
  <c r="D189" i="4"/>
  <c r="G189" i="4"/>
  <c r="J189" i="4"/>
  <c r="H189" i="4"/>
  <c r="I189" i="4"/>
  <c r="M361" i="7"/>
  <c r="M367" i="7"/>
  <c r="M371" i="7"/>
  <c r="J435" i="7"/>
  <c r="K435" i="7"/>
  <c r="L435" i="7"/>
  <c r="M435" i="7"/>
  <c r="J439" i="7"/>
  <c r="K439" i="7"/>
  <c r="M439" i="7"/>
  <c r="L439" i="7"/>
  <c r="M453" i="7"/>
  <c r="M457" i="7"/>
  <c r="J546" i="7"/>
  <c r="K546" i="7"/>
  <c r="M546" i="7"/>
  <c r="L546" i="7"/>
  <c r="M550" i="7"/>
  <c r="M559" i="7"/>
  <c r="M566" i="7"/>
  <c r="J592" i="7"/>
  <c r="K592" i="7"/>
  <c r="M592" i="7"/>
  <c r="L592" i="7"/>
  <c r="M634" i="7"/>
  <c r="M730" i="7"/>
  <c r="J751" i="7"/>
  <c r="K751" i="7"/>
  <c r="L751" i="7"/>
  <c r="M751" i="7"/>
  <c r="M39" i="7"/>
  <c r="M27" i="7"/>
  <c r="G100" i="4"/>
  <c r="H100" i="4"/>
  <c r="I100" i="4"/>
  <c r="M572" i="7"/>
  <c r="J741" i="7"/>
  <c r="G144" i="4" s="1"/>
  <c r="M741" i="7"/>
  <c r="J144" i="4" s="1"/>
  <c r="K741" i="7"/>
  <c r="H144" i="4" s="1"/>
  <c r="L741" i="7"/>
  <c r="I144" i="4" s="1"/>
  <c r="J99" i="7"/>
  <c r="K99" i="7"/>
  <c r="M99" i="7"/>
  <c r="L99" i="7"/>
  <c r="M41" i="7"/>
  <c r="M37" i="7"/>
  <c r="G58" i="4"/>
  <c r="H58" i="4"/>
  <c r="M33" i="7"/>
  <c r="J58" i="4" s="1"/>
  <c r="I58" i="4"/>
  <c r="M29" i="7"/>
  <c r="M25" i="7"/>
  <c r="M106" i="7"/>
  <c r="M365" i="7"/>
  <c r="M366" i="7"/>
  <c r="M370" i="7"/>
  <c r="M434" i="7"/>
  <c r="J438" i="7"/>
  <c r="M438" i="7"/>
  <c r="K438" i="7"/>
  <c r="L438" i="7"/>
  <c r="M452" i="7"/>
  <c r="M456" i="7"/>
  <c r="M464" i="7"/>
  <c r="J549" i="7"/>
  <c r="M549" i="7"/>
  <c r="K549" i="7"/>
  <c r="L549" i="7"/>
  <c r="J553" i="7"/>
  <c r="G143" i="4" s="1"/>
  <c r="H143" i="4"/>
  <c r="L553" i="7"/>
  <c r="I143" i="4" s="1"/>
  <c r="M553" i="7"/>
  <c r="J143" i="4" s="1"/>
  <c r="M565" i="7"/>
  <c r="J591" i="7"/>
  <c r="M591" i="7"/>
  <c r="K591" i="7"/>
  <c r="L591" i="7"/>
  <c r="M616" i="7"/>
  <c r="J724" i="7"/>
  <c r="K724" i="7"/>
  <c r="M724" i="7"/>
  <c r="L724" i="7"/>
  <c r="J750" i="7"/>
  <c r="M750" i="7"/>
  <c r="K750" i="7"/>
  <c r="L750" i="7"/>
  <c r="M463" i="7"/>
  <c r="M35" i="7"/>
  <c r="J158" i="7"/>
  <c r="K158" i="7"/>
  <c r="L158" i="7"/>
  <c r="M158" i="7"/>
  <c r="M368" i="7"/>
  <c r="J436" i="7"/>
  <c r="K436" i="7"/>
  <c r="M436" i="7"/>
  <c r="L436" i="7"/>
  <c r="M454" i="7"/>
  <c r="J551" i="7"/>
  <c r="K551" i="7"/>
  <c r="M551" i="7"/>
  <c r="L551" i="7"/>
  <c r="J593" i="7"/>
  <c r="M593" i="7"/>
  <c r="K593" i="7"/>
  <c r="L593" i="7"/>
  <c r="M643" i="7"/>
  <c r="J98" i="7"/>
  <c r="K98" i="7"/>
  <c r="M98" i="7"/>
  <c r="L98" i="7"/>
  <c r="D190" i="4"/>
  <c r="M46" i="7"/>
  <c r="M38" i="7"/>
  <c r="M34" i="7"/>
  <c r="M30" i="7"/>
  <c r="M26" i="7"/>
  <c r="G26" i="4"/>
  <c r="H26" i="4"/>
  <c r="I26" i="4"/>
  <c r="M22" i="7"/>
  <c r="J26" i="4" s="1"/>
  <c r="J159" i="7"/>
  <c r="K159" i="7"/>
  <c r="M159" i="7"/>
  <c r="L159" i="7"/>
  <c r="M360" i="7"/>
  <c r="M364" i="7"/>
  <c r="M369" i="7"/>
  <c r="J399" i="7"/>
  <c r="M401" i="7"/>
  <c r="M399" i="7" s="1"/>
  <c r="J437" i="7"/>
  <c r="M437" i="7"/>
  <c r="K437" i="7"/>
  <c r="L437" i="7"/>
  <c r="M451" i="7"/>
  <c r="M455" i="7"/>
  <c r="M460" i="7"/>
  <c r="M548" i="7"/>
  <c r="J552" i="7"/>
  <c r="M552" i="7"/>
  <c r="K552" i="7"/>
  <c r="L552" i="7"/>
  <c r="M561" i="7"/>
  <c r="M571" i="7"/>
  <c r="J594" i="7"/>
  <c r="K594" i="7"/>
  <c r="M594" i="7"/>
  <c r="L594" i="7"/>
  <c r="M693" i="7"/>
  <c r="J749" i="7"/>
  <c r="M749" i="7"/>
  <c r="G103" i="7"/>
  <c r="D186" i="4"/>
  <c r="D143" i="4"/>
  <c r="G569" i="7"/>
  <c r="D53" i="4"/>
  <c r="D64" i="16"/>
  <c r="F47" i="16"/>
  <c r="I25" i="16"/>
  <c r="I19" i="16" s="1"/>
  <c r="J37" i="16"/>
  <c r="J25" i="16" s="1"/>
  <c r="J19" i="16" s="1"/>
  <c r="H37" i="16"/>
  <c r="H25" i="16" s="1"/>
  <c r="H19" i="16" s="1"/>
  <c r="F27" i="16"/>
  <c r="F25" i="16" s="1"/>
  <c r="H17" i="16"/>
  <c r="J47" i="16"/>
  <c r="J17" i="16" s="1"/>
  <c r="G80" i="16"/>
  <c r="G74" i="16" s="1"/>
  <c r="G72" i="16" s="1"/>
  <c r="D43" i="16"/>
  <c r="D54" i="16"/>
  <c r="D76" i="16"/>
  <c r="D74" i="16" s="1"/>
  <c r="D72" i="16" s="1"/>
  <c r="I47" i="16"/>
  <c r="H80" i="16"/>
  <c r="H74" i="16" s="1"/>
  <c r="H72" i="16" s="1"/>
  <c r="D33" i="16"/>
  <c r="D27" i="16" s="1"/>
  <c r="I80" i="16"/>
  <c r="I74" i="16" s="1"/>
  <c r="I72" i="16" s="1"/>
  <c r="G47" i="16"/>
  <c r="G17" i="16" s="1"/>
  <c r="J80" i="16"/>
  <c r="J74" i="16" s="1"/>
  <c r="J72" i="16" s="1"/>
  <c r="E47" i="16"/>
  <c r="E17" i="16" s="1"/>
  <c r="E15" i="16" s="1"/>
  <c r="D58" i="16"/>
  <c r="F19" i="16"/>
  <c r="D37" i="16"/>
  <c r="D26" i="4"/>
  <c r="D47" i="16" l="1"/>
  <c r="I17" i="16"/>
  <c r="K53" i="4"/>
  <c r="K189" i="4"/>
  <c r="K143" i="4"/>
  <c r="K26" i="4"/>
  <c r="K44" i="4"/>
  <c r="H15" i="16"/>
  <c r="J15" i="16"/>
  <c r="G15" i="16"/>
  <c r="J48" i="4"/>
  <c r="I59" i="4"/>
  <c r="I50" i="4" s="1"/>
  <c r="J59" i="4"/>
  <c r="J50" i="4" s="1"/>
  <c r="G59" i="4"/>
  <c r="G50" i="4" s="1"/>
  <c r="H59" i="4"/>
  <c r="H50" i="4" s="1"/>
  <c r="H197" i="4"/>
  <c r="H192" i="4" s="1"/>
  <c r="M20" i="7"/>
  <c r="M18" i="7" s="1"/>
  <c r="G197" i="4"/>
  <c r="G192" i="4" s="1"/>
  <c r="J20" i="7"/>
  <c r="J18" i="7" s="1"/>
  <c r="J190" i="4"/>
  <c r="K190" i="4" s="1"/>
  <c r="J197" i="4"/>
  <c r="J192" i="4" s="1"/>
  <c r="K20" i="7"/>
  <c r="K18" i="7" s="1"/>
  <c r="I197" i="4"/>
  <c r="I192" i="4" s="1"/>
  <c r="L20" i="7"/>
  <c r="L18" i="7" s="1"/>
  <c r="J173" i="4"/>
  <c r="J171" i="4" s="1"/>
  <c r="H96" i="4"/>
  <c r="J569" i="7"/>
  <c r="H48" i="4"/>
  <c r="G190" i="4"/>
  <c r="H65" i="4"/>
  <c r="H190" i="4"/>
  <c r="M569" i="7"/>
  <c r="G173" i="4"/>
  <c r="G171" i="4" s="1"/>
  <c r="J145" i="4"/>
  <c r="J140" i="4" s="1"/>
  <c r="J134" i="4" s="1"/>
  <c r="G65" i="4"/>
  <c r="G96" i="4"/>
  <c r="I190" i="4"/>
  <c r="J62" i="4"/>
  <c r="J60" i="4" s="1"/>
  <c r="J185" i="4"/>
  <c r="I158" i="4"/>
  <c r="I155" i="4" s="1"/>
  <c r="J154" i="4"/>
  <c r="J151" i="4" s="1"/>
  <c r="G191" i="4"/>
  <c r="K103" i="7"/>
  <c r="L569" i="7"/>
  <c r="I42" i="4"/>
  <c r="G48" i="4"/>
  <c r="H173" i="4"/>
  <c r="H171" i="4" s="1"/>
  <c r="J65" i="4"/>
  <c r="J186" i="4"/>
  <c r="K186" i="4" s="1"/>
  <c r="J96" i="4"/>
  <c r="J94" i="4" s="1"/>
  <c r="J92" i="4" s="1"/>
  <c r="I96" i="4"/>
  <c r="J42" i="4"/>
  <c r="I65" i="4"/>
  <c r="G62" i="4"/>
  <c r="G60" i="4" s="1"/>
  <c r="I145" i="4"/>
  <c r="I140" i="4" s="1"/>
  <c r="I185" i="4"/>
  <c r="G186" i="4"/>
  <c r="G66" i="4"/>
  <c r="H158" i="4"/>
  <c r="H155" i="4" s="1"/>
  <c r="H154" i="4"/>
  <c r="H151" i="4" s="1"/>
  <c r="H76" i="4"/>
  <c r="I191" i="4"/>
  <c r="M103" i="7"/>
  <c r="I66" i="4"/>
  <c r="J76" i="4"/>
  <c r="G42" i="4"/>
  <c r="K569" i="7"/>
  <c r="H42" i="4"/>
  <c r="I48" i="4"/>
  <c r="I173" i="4"/>
  <c r="I171" i="4" s="1"/>
  <c r="H62" i="4"/>
  <c r="H60" i="4" s="1"/>
  <c r="G145" i="4"/>
  <c r="G140" i="4" s="1"/>
  <c r="G185" i="4"/>
  <c r="H186" i="4"/>
  <c r="H66" i="4"/>
  <c r="J158" i="4"/>
  <c r="J155" i="4" s="1"/>
  <c r="I154" i="4"/>
  <c r="I151" i="4" s="1"/>
  <c r="I76" i="4"/>
  <c r="J191" i="4"/>
  <c r="K191" i="4" s="1"/>
  <c r="J103" i="7"/>
  <c r="I62" i="4"/>
  <c r="I60" i="4" s="1"/>
  <c r="H145" i="4"/>
  <c r="H140" i="4" s="1"/>
  <c r="H185" i="4"/>
  <c r="I186" i="4"/>
  <c r="J66" i="4"/>
  <c r="G158" i="4"/>
  <c r="G155" i="4" s="1"/>
  <c r="G154" i="4"/>
  <c r="G151" i="4" s="1"/>
  <c r="G76" i="4"/>
  <c r="H191" i="4"/>
  <c r="L103" i="7"/>
  <c r="F17" i="16"/>
  <c r="F15" i="16" s="1"/>
  <c r="D15" i="16" s="1"/>
  <c r="I15" i="16"/>
  <c r="D25" i="16"/>
  <c r="D19" i="16" s="1"/>
  <c r="D17" i="16" s="1"/>
  <c r="K197" i="4" l="1"/>
  <c r="K59" i="4"/>
  <c r="J182" i="4"/>
  <c r="H187" i="4"/>
  <c r="J187" i="4"/>
  <c r="G63" i="4"/>
  <c r="G187" i="4"/>
  <c r="H63" i="4"/>
  <c r="J63" i="4"/>
  <c r="G182" i="4"/>
  <c r="I187" i="4"/>
  <c r="I182" i="4"/>
  <c r="I63" i="4"/>
  <c r="H182" i="4"/>
  <c r="J180" i="4" l="1"/>
  <c r="J178" i="4" s="1"/>
  <c r="H180" i="4"/>
  <c r="H178" i="4" s="1"/>
  <c r="G180" i="4"/>
  <c r="G178" i="4" s="1"/>
  <c r="I180" i="4"/>
  <c r="I178" i="4" s="1"/>
  <c r="I615" i="7" l="1"/>
  <c r="J615" i="7"/>
  <c r="K615" i="7"/>
  <c r="L615" i="7"/>
  <c r="G615" i="7"/>
  <c r="L739" i="7"/>
  <c r="K739" i="7"/>
  <c r="J739" i="7"/>
  <c r="I101" i="7" l="1"/>
  <c r="I41" i="3"/>
  <c r="J41" i="3"/>
  <c r="L101" i="7"/>
  <c r="K39" i="3" s="1"/>
  <c r="D20" i="9"/>
  <c r="D21" i="9"/>
  <c r="M615" i="7"/>
  <c r="F73" i="9"/>
  <c r="F292" i="3"/>
  <c r="F290" i="3" s="1"/>
  <c r="H292" i="3"/>
  <c r="H290" i="3" s="1"/>
  <c r="M762" i="7"/>
  <c r="J39" i="4" s="1"/>
  <c r="M763" i="7"/>
  <c r="J41" i="4" s="1"/>
  <c r="M764" i="7"/>
  <c r="M765" i="7"/>
  <c r="J43" i="4" s="1"/>
  <c r="M766" i="7"/>
  <c r="J69" i="4" s="1"/>
  <c r="M767" i="7"/>
  <c r="M768" i="7"/>
  <c r="J72" i="4" s="1"/>
  <c r="H762" i="7"/>
  <c r="H763" i="7"/>
  <c r="H764" i="7"/>
  <c r="H765" i="7"/>
  <c r="H766" i="7"/>
  <c r="H767" i="7"/>
  <c r="H768" i="7"/>
  <c r="H761" i="7"/>
  <c r="K761" i="7" s="1"/>
  <c r="H25" i="4" s="1"/>
  <c r="E144" i="4"/>
  <c r="G292" i="3"/>
  <c r="G290" i="3" s="1"/>
  <c r="G289" i="3"/>
  <c r="G287" i="3" s="1"/>
  <c r="M722" i="7"/>
  <c r="M690" i="7"/>
  <c r="M642" i="7"/>
  <c r="H642" i="7"/>
  <c r="H635" i="7"/>
  <c r="H636" i="7"/>
  <c r="E143" i="4" s="1"/>
  <c r="H637" i="7"/>
  <c r="F207" i="4"/>
  <c r="F192" i="4"/>
  <c r="E70" i="4"/>
  <c r="E82" i="4"/>
  <c r="E79" i="4" s="1"/>
  <c r="M68" i="7"/>
  <c r="H81" i="7"/>
  <c r="H82" i="7"/>
  <c r="H83" i="7"/>
  <c r="H84" i="7"/>
  <c r="H85" i="7"/>
  <c r="E59" i="4" s="1"/>
  <c r="H86" i="7"/>
  <c r="H87" i="7"/>
  <c r="H80" i="7"/>
  <c r="E55" i="4"/>
  <c r="E58" i="4"/>
  <c r="I728" i="7"/>
  <c r="I726" i="7" s="1"/>
  <c r="J728" i="7"/>
  <c r="J726" i="7" s="1"/>
  <c r="K728" i="7"/>
  <c r="K726" i="7" s="1"/>
  <c r="L728" i="7"/>
  <c r="L726" i="7" s="1"/>
  <c r="G728" i="7"/>
  <c r="I544" i="7"/>
  <c r="I542" i="7" s="1"/>
  <c r="I563" i="7"/>
  <c r="H239" i="3"/>
  <c r="H236" i="3" s="1"/>
  <c r="I631" i="7"/>
  <c r="I630" i="7" s="1"/>
  <c r="I642" i="7"/>
  <c r="H251" i="3" s="1"/>
  <c r="H249" i="3" s="1"/>
  <c r="I690" i="7"/>
  <c r="I722" i="7"/>
  <c r="I746" i="7"/>
  <c r="H301" i="3" s="1"/>
  <c r="H299" i="3" s="1"/>
  <c r="L642" i="7"/>
  <c r="K251" i="3" s="1"/>
  <c r="K249" i="3" s="1"/>
  <c r="J642" i="7"/>
  <c r="J640" i="7" s="1"/>
  <c r="I78" i="7"/>
  <c r="I68" i="7" s="1"/>
  <c r="I156" i="7"/>
  <c r="I154" i="7" s="1"/>
  <c r="I130" i="7" s="1"/>
  <c r="L156" i="7"/>
  <c r="L154" i="7" s="1"/>
  <c r="L130" i="7" s="1"/>
  <c r="H348" i="7"/>
  <c r="I348" i="7"/>
  <c r="G350" i="7"/>
  <c r="J226" i="3"/>
  <c r="K239" i="3"/>
  <c r="K236" i="3" s="1"/>
  <c r="K722" i="7"/>
  <c r="I759" i="7"/>
  <c r="I757" i="7" s="1"/>
  <c r="J762" i="7"/>
  <c r="G39" i="4" s="1"/>
  <c r="J766" i="7"/>
  <c r="G69" i="4" s="1"/>
  <c r="K767" i="7"/>
  <c r="H47" i="4" s="1"/>
  <c r="D72" i="4"/>
  <c r="E28" i="4"/>
  <c r="D30" i="4"/>
  <c r="E31" i="4"/>
  <c r="D33" i="4"/>
  <c r="E83" i="4"/>
  <c r="E87" i="4"/>
  <c r="D87" i="4"/>
  <c r="K87" i="4" s="1"/>
  <c r="E104" i="4"/>
  <c r="E108" i="4"/>
  <c r="E118" i="4"/>
  <c r="E112" i="4" s="1"/>
  <c r="D120" i="4"/>
  <c r="D121" i="4"/>
  <c r="K121" i="4" s="1"/>
  <c r="D122" i="4"/>
  <c r="K122" i="4" s="1"/>
  <c r="E129" i="4"/>
  <c r="E123" i="4" s="1"/>
  <c r="D131" i="4"/>
  <c r="D132" i="4"/>
  <c r="K132" i="4" s="1"/>
  <c r="D133" i="4"/>
  <c r="K133" i="4" s="1"/>
  <c r="E136" i="4"/>
  <c r="E146" i="4"/>
  <c r="F158" i="4"/>
  <c r="E161" i="4"/>
  <c r="E164" i="4"/>
  <c r="E168" i="4"/>
  <c r="D170" i="4"/>
  <c r="D174" i="4"/>
  <c r="D177" i="4"/>
  <c r="F198" i="4"/>
  <c r="F204" i="4"/>
  <c r="F217" i="4"/>
  <c r="F215" i="4" s="1"/>
  <c r="G217" i="4"/>
  <c r="G215" i="4" s="1"/>
  <c r="H217" i="4"/>
  <c r="I217" i="4"/>
  <c r="I215" i="4" s="1"/>
  <c r="J217" i="4"/>
  <c r="K217" i="4" s="1"/>
  <c r="D218" i="4"/>
  <c r="D222" i="4"/>
  <c r="F223" i="4"/>
  <c r="F220" i="4" s="1"/>
  <c r="D225" i="4"/>
  <c r="D226" i="4"/>
  <c r="D227" i="4"/>
  <c r="F228" i="4"/>
  <c r="D230" i="4"/>
  <c r="F231" i="4"/>
  <c r="D234" i="4"/>
  <c r="D235" i="4"/>
  <c r="I235" i="4" s="1"/>
  <c r="D236" i="4"/>
  <c r="F22" i="3"/>
  <c r="F23" i="3"/>
  <c r="G24" i="3"/>
  <c r="H24" i="3"/>
  <c r="F26" i="3"/>
  <c r="F27" i="3"/>
  <c r="F30" i="3"/>
  <c r="F31" i="3"/>
  <c r="G33" i="3"/>
  <c r="F35" i="3"/>
  <c r="F33" i="3" s="1"/>
  <c r="G42" i="3"/>
  <c r="H42" i="3"/>
  <c r="F44" i="3"/>
  <c r="F42" i="3" s="1"/>
  <c r="G47" i="3"/>
  <c r="G45" i="3" s="1"/>
  <c r="H47" i="3"/>
  <c r="H45" i="3" s="1"/>
  <c r="F49" i="3"/>
  <c r="F50" i="3"/>
  <c r="G54" i="3"/>
  <c r="H54" i="3"/>
  <c r="F56" i="3"/>
  <c r="F54" i="3" s="1"/>
  <c r="G57" i="3"/>
  <c r="H57" i="3"/>
  <c r="F59" i="3"/>
  <c r="F57" i="3" s="1"/>
  <c r="G60" i="3"/>
  <c r="H60" i="3"/>
  <c r="F62" i="3"/>
  <c r="F60" i="3" s="1"/>
  <c r="G63" i="3"/>
  <c r="H63" i="3"/>
  <c r="F65" i="3"/>
  <c r="F63" i="3" s="1"/>
  <c r="G71" i="3"/>
  <c r="H71" i="3"/>
  <c r="F73" i="3"/>
  <c r="F74" i="3"/>
  <c r="F75" i="3"/>
  <c r="G76" i="3"/>
  <c r="H76" i="3"/>
  <c r="F78" i="3"/>
  <c r="F76" i="3"/>
  <c r="G79" i="3"/>
  <c r="H79" i="3"/>
  <c r="F81" i="3"/>
  <c r="F82" i="3"/>
  <c r="G83" i="3"/>
  <c r="G69" i="3" s="1"/>
  <c r="H83" i="3"/>
  <c r="F85" i="3"/>
  <c r="F83" i="3"/>
  <c r="G86" i="3"/>
  <c r="H86" i="3"/>
  <c r="F88" i="3"/>
  <c r="F86" i="3"/>
  <c r="G89" i="3"/>
  <c r="H89" i="3"/>
  <c r="F91" i="3"/>
  <c r="F89" i="3" s="1"/>
  <c r="G92" i="3"/>
  <c r="H92" i="3"/>
  <c r="F94" i="3"/>
  <c r="F92" i="3"/>
  <c r="G97" i="3"/>
  <c r="H97" i="3"/>
  <c r="F99" i="3"/>
  <c r="F100" i="3"/>
  <c r="F97" i="3" s="1"/>
  <c r="G101" i="3"/>
  <c r="H101" i="3"/>
  <c r="F103" i="3"/>
  <c r="F104" i="3"/>
  <c r="F105" i="3"/>
  <c r="F101" i="3" s="1"/>
  <c r="F106" i="3"/>
  <c r="G107" i="3"/>
  <c r="H107" i="3"/>
  <c r="F109" i="3"/>
  <c r="F110" i="3"/>
  <c r="F111" i="3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5" i="3"/>
  <c r="G136" i="3"/>
  <c r="H136" i="3"/>
  <c r="F138" i="3"/>
  <c r="F139" i="3"/>
  <c r="F140" i="3"/>
  <c r="F141" i="3"/>
  <c r="F142" i="3"/>
  <c r="F143" i="3"/>
  <c r="F136" i="3" s="1"/>
  <c r="F144" i="3"/>
  <c r="H147" i="3"/>
  <c r="H145" i="3" s="1"/>
  <c r="G153" i="3"/>
  <c r="H153" i="3"/>
  <c r="F155" i="3"/>
  <c r="F153" i="3" s="1"/>
  <c r="G156" i="3"/>
  <c r="H156" i="3"/>
  <c r="F158" i="3"/>
  <c r="F156" i="3" s="1"/>
  <c r="G159" i="3"/>
  <c r="H159" i="3"/>
  <c r="F161" i="3"/>
  <c r="F159" i="3" s="1"/>
  <c r="G162" i="3"/>
  <c r="H162" i="3"/>
  <c r="F164" i="3"/>
  <c r="F162" i="3" s="1"/>
  <c r="G170" i="3"/>
  <c r="H170" i="3"/>
  <c r="F172" i="3"/>
  <c r="F170" i="3" s="1"/>
  <c r="G173" i="3"/>
  <c r="H173" i="3"/>
  <c r="F175" i="3"/>
  <c r="F173" i="3" s="1"/>
  <c r="G176" i="3"/>
  <c r="H176" i="3"/>
  <c r="F178" i="3"/>
  <c r="F176" i="3" s="1"/>
  <c r="G182" i="3"/>
  <c r="H182" i="3"/>
  <c r="F184" i="3"/>
  <c r="F182" i="3" s="1"/>
  <c r="G190" i="3"/>
  <c r="H190" i="3"/>
  <c r="F192" i="3"/>
  <c r="F193" i="3"/>
  <c r="F194" i="3"/>
  <c r="G195" i="3"/>
  <c r="H195" i="3"/>
  <c r="F197" i="3"/>
  <c r="F198" i="3"/>
  <c r="F199" i="3"/>
  <c r="F200" i="3"/>
  <c r="G201" i="3"/>
  <c r="H201" i="3"/>
  <c r="F203" i="3"/>
  <c r="F204" i="3"/>
  <c r="F205" i="3"/>
  <c r="F206" i="3"/>
  <c r="G207" i="3"/>
  <c r="H207" i="3"/>
  <c r="F209" i="3"/>
  <c r="F207" i="3" s="1"/>
  <c r="G210" i="3"/>
  <c r="H210" i="3"/>
  <c r="H188" i="3" s="1"/>
  <c r="F212" i="3"/>
  <c r="F210" i="3" s="1"/>
  <c r="G213" i="3"/>
  <c r="H213" i="3"/>
  <c r="F215" i="3"/>
  <c r="F216" i="3"/>
  <c r="F227" i="3"/>
  <c r="F228" i="3"/>
  <c r="F229" i="3"/>
  <c r="G231" i="3"/>
  <c r="H231" i="3"/>
  <c r="F233" i="3"/>
  <c r="F234" i="3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6" i="3"/>
  <c r="G257" i="3"/>
  <c r="H257" i="3"/>
  <c r="F259" i="3"/>
  <c r="F260" i="3"/>
  <c r="G261" i="3"/>
  <c r="H261" i="3"/>
  <c r="F263" i="3"/>
  <c r="F264" i="3"/>
  <c r="G265" i="3"/>
  <c r="H265" i="3"/>
  <c r="F267" i="3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3" i="3"/>
  <c r="F280" i="3" s="1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E22" i="9"/>
  <c r="D23" i="9"/>
  <c r="E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E48" i="9"/>
  <c r="E47" i="9" s="1"/>
  <c r="D49" i="9"/>
  <c r="D50" i="9"/>
  <c r="E52" i="9"/>
  <c r="E51" i="9" s="1"/>
  <c r="D53" i="9"/>
  <c r="D54" i="9"/>
  <c r="D55" i="9"/>
  <c r="D56" i="9"/>
  <c r="D59" i="9"/>
  <c r="G59" i="9" s="1"/>
  <c r="G58" i="9" s="1"/>
  <c r="F60" i="9"/>
  <c r="D61" i="9"/>
  <c r="E62" i="9"/>
  <c r="D63" i="9"/>
  <c r="F64" i="9"/>
  <c r="D65" i="9"/>
  <c r="D64" i="9" s="1"/>
  <c r="D67" i="9"/>
  <c r="E68" i="9"/>
  <c r="E66" i="9" s="1"/>
  <c r="D69" i="9"/>
  <c r="H69" i="9" s="1"/>
  <c r="D70" i="9"/>
  <c r="D71" i="9"/>
  <c r="J71" i="9" s="1"/>
  <c r="D72" i="9"/>
  <c r="J72" i="9" s="1"/>
  <c r="D74" i="9"/>
  <c r="D75" i="9"/>
  <c r="J75" i="9" s="1"/>
  <c r="F77" i="9"/>
  <c r="D78" i="9"/>
  <c r="E79" i="9"/>
  <c r="D80" i="9"/>
  <c r="E81" i="9"/>
  <c r="D82" i="9"/>
  <c r="D83" i="9"/>
  <c r="D84" i="9"/>
  <c r="D85" i="9"/>
  <c r="E86" i="9"/>
  <c r="D87" i="9"/>
  <c r="D88" i="9"/>
  <c r="D89" i="9"/>
  <c r="D93" i="9"/>
  <c r="D94" i="9"/>
  <c r="D95" i="9"/>
  <c r="D96" i="9"/>
  <c r="D97" i="9"/>
  <c r="D98" i="9"/>
  <c r="E99" i="9"/>
  <c r="E91" i="9" s="1"/>
  <c r="E90" i="9" s="1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E116" i="9"/>
  <c r="D117" i="9"/>
  <c r="D118" i="9"/>
  <c r="E119" i="9"/>
  <c r="D120" i="9"/>
  <c r="D121" i="9"/>
  <c r="J121" i="9" s="1"/>
  <c r="F122" i="9"/>
  <c r="D123" i="9"/>
  <c r="J123" i="9" s="1"/>
  <c r="D124" i="9"/>
  <c r="E125" i="9"/>
  <c r="D126" i="9"/>
  <c r="D128" i="9"/>
  <c r="F271" i="3"/>
  <c r="F269" i="3" s="1"/>
  <c r="D22" i="9"/>
  <c r="K563" i="7"/>
  <c r="J225" i="3" s="1"/>
  <c r="K642" i="7"/>
  <c r="K640" i="7" s="1"/>
  <c r="L737" i="7"/>
  <c r="G610" i="7"/>
  <c r="I239" i="3"/>
  <c r="I236" i="3" s="1"/>
  <c r="J563" i="7"/>
  <c r="I225" i="3" s="1"/>
  <c r="D82" i="4"/>
  <c r="K82" i="4" s="1"/>
  <c r="D70" i="4"/>
  <c r="K70" i="4" s="1"/>
  <c r="D144" i="4"/>
  <c r="K144" i="4" s="1"/>
  <c r="D65" i="4"/>
  <c r="K65" i="4" s="1"/>
  <c r="K156" i="7"/>
  <c r="J68" i="3" s="1"/>
  <c r="J66" i="3" s="1"/>
  <c r="J52" i="3" s="1"/>
  <c r="D136" i="4"/>
  <c r="K136" i="4" s="1"/>
  <c r="D62" i="4"/>
  <c r="K62" i="4" s="1"/>
  <c r="D66" i="4"/>
  <c r="K66" i="4" s="1"/>
  <c r="G96" i="7"/>
  <c r="F226" i="3"/>
  <c r="G281" i="7"/>
  <c r="D185" i="4"/>
  <c r="K185" i="4" s="1"/>
  <c r="D42" i="4"/>
  <c r="K42" i="4" s="1"/>
  <c r="K610" i="7"/>
  <c r="G563" i="7"/>
  <c r="D158" i="4"/>
  <c r="K158" i="4" s="1"/>
  <c r="L563" i="7"/>
  <c r="K225" i="3" s="1"/>
  <c r="D161" i="4"/>
  <c r="K161" i="4" s="1"/>
  <c r="G588" i="7"/>
  <c r="L588" i="7"/>
  <c r="K230" i="3" s="1"/>
  <c r="D96" i="4"/>
  <c r="K96" i="4" s="1"/>
  <c r="D58" i="4"/>
  <c r="K58" i="4" s="1"/>
  <c r="J290" i="3"/>
  <c r="J292" i="3"/>
  <c r="G397" i="7"/>
  <c r="J289" i="3"/>
  <c r="J287" i="3" s="1"/>
  <c r="G78" i="7"/>
  <c r="G746" i="7"/>
  <c r="G642" i="7"/>
  <c r="D40" i="4"/>
  <c r="K40" i="4" s="1"/>
  <c r="J690" i="7"/>
  <c r="L690" i="7"/>
  <c r="K690" i="7"/>
  <c r="G690" i="7"/>
  <c r="L722" i="7"/>
  <c r="J722" i="7"/>
  <c r="F289" i="3"/>
  <c r="F287" i="3" s="1"/>
  <c r="G722" i="7"/>
  <c r="G631" i="7"/>
  <c r="D154" i="4"/>
  <c r="K154" i="4" s="1"/>
  <c r="D48" i="4"/>
  <c r="K48" i="4" s="1"/>
  <c r="G544" i="7"/>
  <c r="D55" i="4"/>
  <c r="K55" i="4" s="1"/>
  <c r="D145" i="4"/>
  <c r="K145" i="4" s="1"/>
  <c r="G448" i="7"/>
  <c r="J298" i="3"/>
  <c r="J296" i="3" s="1"/>
  <c r="G432" i="7"/>
  <c r="K631" i="7"/>
  <c r="J246" i="3" s="1"/>
  <c r="J244" i="3" s="1"/>
  <c r="L544" i="7"/>
  <c r="L542" i="7" s="1"/>
  <c r="J746" i="7"/>
  <c r="J744" i="7" s="1"/>
  <c r="J557" i="7"/>
  <c r="L631" i="7"/>
  <c r="L630" i="7" s="1"/>
  <c r="J544" i="7"/>
  <c r="J542" i="7" s="1"/>
  <c r="L557" i="7"/>
  <c r="K224" i="3" s="1"/>
  <c r="K557" i="7"/>
  <c r="J224" i="3" s="1"/>
  <c r="J588" i="7"/>
  <c r="I230" i="3" s="1"/>
  <c r="K226" i="3"/>
  <c r="K544" i="7"/>
  <c r="J221" i="3" s="1"/>
  <c r="J219" i="3" s="1"/>
  <c r="L746" i="7"/>
  <c r="L744" i="7" s="1"/>
  <c r="J631" i="7"/>
  <c r="I246" i="3" s="1"/>
  <c r="I244" i="3" s="1"/>
  <c r="I298" i="3"/>
  <c r="I296" i="3" s="1"/>
  <c r="I226" i="3"/>
  <c r="K588" i="7"/>
  <c r="J230" i="3" s="1"/>
  <c r="K746" i="7"/>
  <c r="J301" i="3" s="1"/>
  <c r="J299" i="3" s="1"/>
  <c r="K290" i="3"/>
  <c r="K292" i="3"/>
  <c r="J432" i="7"/>
  <c r="I181" i="3" s="1"/>
  <c r="I179" i="3" s="1"/>
  <c r="J358" i="7"/>
  <c r="I152" i="3" s="1"/>
  <c r="I150" i="3" s="1"/>
  <c r="L432" i="7"/>
  <c r="L430" i="7" s="1"/>
  <c r="K432" i="7"/>
  <c r="K430" i="7" s="1"/>
  <c r="K281" i="7"/>
  <c r="K279" i="7" s="1"/>
  <c r="K358" i="7"/>
  <c r="J152" i="3" s="1"/>
  <c r="J150" i="3" s="1"/>
  <c r="I290" i="3"/>
  <c r="I292" i="3"/>
  <c r="L358" i="7"/>
  <c r="K152" i="3" s="1"/>
  <c r="K150" i="3" s="1"/>
  <c r="J78" i="7"/>
  <c r="I32" i="3" s="1"/>
  <c r="J271" i="3"/>
  <c r="J269" i="3" s="1"/>
  <c r="I271" i="3"/>
  <c r="I269" i="3" s="1"/>
  <c r="L96" i="7"/>
  <c r="L94" i="7" s="1"/>
  <c r="K36" i="3" s="1"/>
  <c r="J156" i="7"/>
  <c r="I68" i="3" s="1"/>
  <c r="I66" i="3" s="1"/>
  <c r="I52" i="3" s="1"/>
  <c r="K289" i="3"/>
  <c r="K287" i="3" s="1"/>
  <c r="K271" i="3"/>
  <c r="K269" i="3" s="1"/>
  <c r="L281" i="7"/>
  <c r="L279" i="7" s="1"/>
  <c r="K78" i="7"/>
  <c r="J28" i="3" s="1"/>
  <c r="J167" i="3"/>
  <c r="J165" i="3" s="1"/>
  <c r="J397" i="7"/>
  <c r="K96" i="7"/>
  <c r="J38" i="3" s="1"/>
  <c r="J281" i="7"/>
  <c r="I122" i="3" s="1"/>
  <c r="I120" i="3" s="1"/>
  <c r="J448" i="7"/>
  <c r="J446" i="7" s="1"/>
  <c r="D76" i="4"/>
  <c r="K76" i="4" s="1"/>
  <c r="L448" i="7"/>
  <c r="L446" i="7" s="1"/>
  <c r="I289" i="3"/>
  <c r="I287" i="3" s="1"/>
  <c r="K167" i="3"/>
  <c r="K165" i="3" s="1"/>
  <c r="J96" i="7"/>
  <c r="J94" i="7" s="1"/>
  <c r="L78" i="7"/>
  <c r="K28" i="3" s="1"/>
  <c r="K448" i="7"/>
  <c r="J187" i="3" s="1"/>
  <c r="J185" i="3" s="1"/>
  <c r="K763" i="7"/>
  <c r="H41" i="4" s="1"/>
  <c r="L763" i="7"/>
  <c r="I41" i="4" s="1"/>
  <c r="D41" i="4"/>
  <c r="D39" i="4"/>
  <c r="D43" i="4"/>
  <c r="K43" i="4" s="1"/>
  <c r="L765" i="7"/>
  <c r="I43" i="4" s="1"/>
  <c r="J765" i="7"/>
  <c r="G43" i="4" s="1"/>
  <c r="L766" i="7"/>
  <c r="I69" i="4" s="1"/>
  <c r="L762" i="7"/>
  <c r="I39" i="4" s="1"/>
  <c r="L768" i="7"/>
  <c r="I72" i="4" s="1"/>
  <c r="K765" i="7"/>
  <c r="H43" i="4" s="1"/>
  <c r="K762" i="7"/>
  <c r="H39" i="4" s="1"/>
  <c r="J768" i="7"/>
  <c r="G72" i="4" s="1"/>
  <c r="K768" i="7"/>
  <c r="H72" i="4" s="1"/>
  <c r="K766" i="7"/>
  <c r="H69" i="4" s="1"/>
  <c r="K764" i="7"/>
  <c r="J763" i="7"/>
  <c r="G41" i="4" s="1"/>
  <c r="J767" i="7"/>
  <c r="G47" i="4" s="1"/>
  <c r="D69" i="4"/>
  <c r="L767" i="7"/>
  <c r="I47" i="4" s="1"/>
  <c r="J764" i="7"/>
  <c r="L764" i="7"/>
  <c r="K21" i="3"/>
  <c r="I21" i="3"/>
  <c r="M761" i="7"/>
  <c r="J25" i="4" s="1"/>
  <c r="J23" i="4" s="1"/>
  <c r="J21" i="4" s="1"/>
  <c r="D25" i="4"/>
  <c r="G759" i="7"/>
  <c r="K737" i="7"/>
  <c r="J239" i="3"/>
  <c r="J236" i="3" s="1"/>
  <c r="K298" i="3"/>
  <c r="K296" i="3" s="1"/>
  <c r="J737" i="7"/>
  <c r="L290" i="3"/>
  <c r="D204" i="4"/>
  <c r="K204" i="4" s="1"/>
  <c r="D83" i="4"/>
  <c r="K83" i="4" s="1"/>
  <c r="I236" i="4"/>
  <c r="I222" i="4"/>
  <c r="D146" i="4"/>
  <c r="K146" i="4" s="1"/>
  <c r="F190" i="3"/>
  <c r="F257" i="3"/>
  <c r="H69" i="3"/>
  <c r="F79" i="3" l="1"/>
  <c r="K41" i="4"/>
  <c r="F265" i="3"/>
  <c r="J47" i="4"/>
  <c r="K47" i="4" s="1"/>
  <c r="E47" i="4"/>
  <c r="K39" i="4"/>
  <c r="K69" i="4"/>
  <c r="K72" i="4"/>
  <c r="J226" i="4"/>
  <c r="K226" i="4"/>
  <c r="J177" i="4"/>
  <c r="K177" i="4" s="1"/>
  <c r="D28" i="4"/>
  <c r="K28" i="4" s="1"/>
  <c r="K30" i="4"/>
  <c r="G234" i="4"/>
  <c r="D129" i="4"/>
  <c r="K129" i="4" s="1"/>
  <c r="K131" i="4"/>
  <c r="D118" i="4"/>
  <c r="K118" i="4" s="1"/>
  <c r="K120" i="4"/>
  <c r="J235" i="4"/>
  <c r="K235" i="4"/>
  <c r="D31" i="4"/>
  <c r="K31" i="4" s="1"/>
  <c r="K33" i="4"/>
  <c r="H230" i="4"/>
  <c r="H228" i="4" s="1"/>
  <c r="G225" i="4"/>
  <c r="K25" i="4"/>
  <c r="F24" i="3"/>
  <c r="F47" i="3"/>
  <c r="F45" i="3" s="1"/>
  <c r="G114" i="9"/>
  <c r="H114" i="9"/>
  <c r="I114" i="9"/>
  <c r="J114" i="9"/>
  <c r="G110" i="9"/>
  <c r="H110" i="9"/>
  <c r="I110" i="9"/>
  <c r="J110" i="9"/>
  <c r="G106" i="9"/>
  <c r="H106" i="9"/>
  <c r="I106" i="9"/>
  <c r="J106" i="9"/>
  <c r="G102" i="9"/>
  <c r="H102" i="9"/>
  <c r="I102" i="9"/>
  <c r="J102" i="9"/>
  <c r="J98" i="9"/>
  <c r="G98" i="9"/>
  <c r="H98" i="9"/>
  <c r="I98" i="9"/>
  <c r="J94" i="9"/>
  <c r="G94" i="9"/>
  <c r="H94" i="9"/>
  <c r="I94" i="9"/>
  <c r="J87" i="9"/>
  <c r="G87" i="9"/>
  <c r="H87" i="9"/>
  <c r="I87" i="9"/>
  <c r="J83" i="9"/>
  <c r="G83" i="9"/>
  <c r="H83" i="9"/>
  <c r="H81" i="9" s="1"/>
  <c r="I83" i="9"/>
  <c r="J49" i="9"/>
  <c r="G49" i="9"/>
  <c r="H49" i="9"/>
  <c r="I49" i="9"/>
  <c r="J42" i="9"/>
  <c r="G42" i="9"/>
  <c r="H42" i="9"/>
  <c r="I42" i="9"/>
  <c r="J38" i="9"/>
  <c r="G38" i="9"/>
  <c r="H38" i="9"/>
  <c r="I38" i="9"/>
  <c r="J34" i="9"/>
  <c r="G34" i="9"/>
  <c r="H34" i="9"/>
  <c r="I34" i="9"/>
  <c r="J30" i="9"/>
  <c r="G30" i="9"/>
  <c r="H30" i="9"/>
  <c r="I30" i="9"/>
  <c r="G115" i="9"/>
  <c r="H115" i="9"/>
  <c r="I115" i="9"/>
  <c r="J115" i="9"/>
  <c r="G111" i="9"/>
  <c r="H111" i="9"/>
  <c r="I111" i="9"/>
  <c r="J111" i="9"/>
  <c r="G107" i="9"/>
  <c r="H107" i="9"/>
  <c r="I107" i="9"/>
  <c r="J107" i="9"/>
  <c r="G103" i="9"/>
  <c r="H103" i="9"/>
  <c r="I103" i="9"/>
  <c r="J103" i="9"/>
  <c r="J95" i="9"/>
  <c r="G95" i="9"/>
  <c r="H95" i="9"/>
  <c r="I95" i="9"/>
  <c r="J88" i="9"/>
  <c r="G88" i="9"/>
  <c r="H88" i="9"/>
  <c r="I88" i="9"/>
  <c r="J84" i="9"/>
  <c r="G84" i="9"/>
  <c r="H84" i="9"/>
  <c r="I84" i="9"/>
  <c r="J80" i="9"/>
  <c r="G80" i="9"/>
  <c r="H80" i="9"/>
  <c r="I80" i="9"/>
  <c r="I79" i="9" s="1"/>
  <c r="J70" i="9"/>
  <c r="G70" i="9"/>
  <c r="H70" i="9"/>
  <c r="I70" i="9"/>
  <c r="G61" i="9"/>
  <c r="J61" i="9"/>
  <c r="J60" i="9" s="1"/>
  <c r="I61" i="9"/>
  <c r="I60" i="9" s="1"/>
  <c r="H61" i="9"/>
  <c r="J50" i="9"/>
  <c r="G50" i="9"/>
  <c r="H50" i="9"/>
  <c r="I50" i="9"/>
  <c r="J43" i="9"/>
  <c r="G43" i="9"/>
  <c r="H43" i="9"/>
  <c r="I43" i="9"/>
  <c r="J39" i="9"/>
  <c r="G39" i="9"/>
  <c r="H39" i="9"/>
  <c r="I39" i="9"/>
  <c r="J35" i="9"/>
  <c r="G35" i="9"/>
  <c r="H35" i="9"/>
  <c r="I35" i="9"/>
  <c r="J31" i="9"/>
  <c r="G31" i="9"/>
  <c r="H31" i="9"/>
  <c r="I31" i="9"/>
  <c r="J27" i="9"/>
  <c r="G27" i="9"/>
  <c r="H27" i="9"/>
  <c r="I27" i="9"/>
  <c r="G112" i="9"/>
  <c r="H112" i="9"/>
  <c r="I112" i="9"/>
  <c r="J112" i="9"/>
  <c r="G108" i="9"/>
  <c r="H108" i="9"/>
  <c r="I108" i="9"/>
  <c r="J108" i="9"/>
  <c r="G104" i="9"/>
  <c r="H104" i="9"/>
  <c r="I104" i="9"/>
  <c r="J104" i="9"/>
  <c r="J96" i="9"/>
  <c r="G96" i="9"/>
  <c r="H96" i="9"/>
  <c r="I96" i="9"/>
  <c r="J89" i="9"/>
  <c r="G89" i="9"/>
  <c r="H89" i="9"/>
  <c r="I89" i="9"/>
  <c r="J67" i="9"/>
  <c r="G67" i="9"/>
  <c r="H67" i="9"/>
  <c r="I67" i="9"/>
  <c r="J44" i="9"/>
  <c r="G44" i="9"/>
  <c r="H44" i="9"/>
  <c r="I44" i="9"/>
  <c r="J40" i="9"/>
  <c r="G40" i="9"/>
  <c r="H40" i="9"/>
  <c r="I40" i="9"/>
  <c r="J36" i="9"/>
  <c r="G36" i="9"/>
  <c r="H36" i="9"/>
  <c r="I36" i="9"/>
  <c r="J32" i="9"/>
  <c r="G32" i="9"/>
  <c r="H32" i="9"/>
  <c r="I32" i="9"/>
  <c r="J28" i="9"/>
  <c r="G28" i="9"/>
  <c r="H28" i="9"/>
  <c r="I28" i="9"/>
  <c r="G117" i="9"/>
  <c r="H117" i="9"/>
  <c r="I117" i="9"/>
  <c r="I116" i="9" s="1"/>
  <c r="J117" i="9"/>
  <c r="G113" i="9"/>
  <c r="H113" i="9"/>
  <c r="I113" i="9"/>
  <c r="J113" i="9"/>
  <c r="G109" i="9"/>
  <c r="H109" i="9"/>
  <c r="I109" i="9"/>
  <c r="J109" i="9"/>
  <c r="G105" i="9"/>
  <c r="H105" i="9"/>
  <c r="I105" i="9"/>
  <c r="J105" i="9"/>
  <c r="H101" i="9"/>
  <c r="I101" i="9"/>
  <c r="J101" i="9"/>
  <c r="J97" i="9"/>
  <c r="G97" i="9"/>
  <c r="H97" i="9"/>
  <c r="I97" i="9"/>
  <c r="J93" i="9"/>
  <c r="G93" i="9"/>
  <c r="H93" i="9"/>
  <c r="I93" i="9"/>
  <c r="J78" i="9"/>
  <c r="G78" i="9"/>
  <c r="H78" i="9"/>
  <c r="H77" i="9" s="1"/>
  <c r="I78" i="9"/>
  <c r="J41" i="9"/>
  <c r="G41" i="9"/>
  <c r="H41" i="9"/>
  <c r="I41" i="9"/>
  <c r="J37" i="9"/>
  <c r="G37" i="9"/>
  <c r="H37" i="9"/>
  <c r="I37" i="9"/>
  <c r="J33" i="9"/>
  <c r="G33" i="9"/>
  <c r="H33" i="9"/>
  <c r="I33" i="9"/>
  <c r="J29" i="9"/>
  <c r="G29" i="9"/>
  <c r="H29" i="9"/>
  <c r="I29" i="9"/>
  <c r="F253" i="3"/>
  <c r="J74" i="9"/>
  <c r="F187" i="3"/>
  <c r="F185" i="3" s="1"/>
  <c r="F221" i="3"/>
  <c r="F219" i="3" s="1"/>
  <c r="F230" i="3"/>
  <c r="F225" i="3"/>
  <c r="F122" i="3"/>
  <c r="F120" i="3" s="1"/>
  <c r="F251" i="3"/>
  <c r="F249" i="3" s="1"/>
  <c r="F246" i="3"/>
  <c r="F244" i="3" s="1"/>
  <c r="G68" i="7"/>
  <c r="F308" i="3"/>
  <c r="F306" i="3" s="1"/>
  <c r="F181" i="3"/>
  <c r="F179" i="3" s="1"/>
  <c r="G744" i="7"/>
  <c r="F38" i="3"/>
  <c r="G726" i="7"/>
  <c r="J128" i="9"/>
  <c r="J100" i="9"/>
  <c r="G99" i="9"/>
  <c r="H100" i="9"/>
  <c r="H99" i="9" s="1"/>
  <c r="I100" i="9"/>
  <c r="I99" i="9" s="1"/>
  <c r="J63" i="9"/>
  <c r="J62" i="9" s="1"/>
  <c r="G235" i="4"/>
  <c r="I226" i="4"/>
  <c r="H234" i="4"/>
  <c r="G226" i="4"/>
  <c r="H226" i="4"/>
  <c r="J218" i="4"/>
  <c r="K218" i="4" s="1"/>
  <c r="D215" i="4"/>
  <c r="I177" i="4"/>
  <c r="J234" i="4"/>
  <c r="K234" i="4" s="1"/>
  <c r="H227" i="4"/>
  <c r="G222" i="4"/>
  <c r="H235" i="4"/>
  <c r="D168" i="4"/>
  <c r="I170" i="4"/>
  <c r="I168" i="4" s="1"/>
  <c r="I149" i="4" s="1"/>
  <c r="J170" i="4"/>
  <c r="J168" i="4" s="1"/>
  <c r="J149" i="4" s="1"/>
  <c r="H170" i="4"/>
  <c r="H168" i="4" s="1"/>
  <c r="H149" i="4" s="1"/>
  <c r="G170" i="4"/>
  <c r="G168" i="4" s="1"/>
  <c r="G149" i="4" s="1"/>
  <c r="J230" i="4"/>
  <c r="J228" i="4" s="1"/>
  <c r="H236" i="4"/>
  <c r="I230" i="4"/>
  <c r="I228" i="4" s="1"/>
  <c r="J236" i="4"/>
  <c r="K236" i="4" s="1"/>
  <c r="H218" i="4"/>
  <c r="G236" i="4"/>
  <c r="H177" i="4"/>
  <c r="D231" i="4"/>
  <c r="G177" i="4"/>
  <c r="D228" i="4"/>
  <c r="G230" i="4"/>
  <c r="G228" i="4" s="1"/>
  <c r="I225" i="4"/>
  <c r="H85" i="9"/>
  <c r="I85" i="9"/>
  <c r="J85" i="9"/>
  <c r="G85" i="9"/>
  <c r="G82" i="9"/>
  <c r="J82" i="9"/>
  <c r="H82" i="9"/>
  <c r="I82" i="9"/>
  <c r="I22" i="9"/>
  <c r="H22" i="9"/>
  <c r="J23" i="9"/>
  <c r="J22" i="9" s="1"/>
  <c r="G22" i="9"/>
  <c r="G20" i="9"/>
  <c r="J20" i="9"/>
  <c r="H20" i="9"/>
  <c r="I20" i="9"/>
  <c r="J19" i="9"/>
  <c r="I19" i="9"/>
  <c r="G19" i="9"/>
  <c r="H19" i="9"/>
  <c r="I67" i="4"/>
  <c r="J67" i="4"/>
  <c r="J36" i="4"/>
  <c r="M350" i="7"/>
  <c r="L147" i="3" s="1"/>
  <c r="L145" i="3" s="1"/>
  <c r="J147" i="3"/>
  <c r="J145" i="3" s="1"/>
  <c r="D94" i="4"/>
  <c r="K94" i="4" s="1"/>
  <c r="D60" i="4"/>
  <c r="K60" i="4" s="1"/>
  <c r="D79" i="4"/>
  <c r="G67" i="4"/>
  <c r="D23" i="4"/>
  <c r="D151" i="4"/>
  <c r="K151" i="4" s="1"/>
  <c r="H67" i="4"/>
  <c r="H21" i="9"/>
  <c r="I21" i="9"/>
  <c r="J21" i="9"/>
  <c r="J215" i="4"/>
  <c r="D99" i="9"/>
  <c r="D91" i="9" s="1"/>
  <c r="F231" i="3"/>
  <c r="F213" i="3"/>
  <c r="F195" i="3"/>
  <c r="D123" i="4"/>
  <c r="K123" i="4" s="1"/>
  <c r="D112" i="4"/>
  <c r="K112" i="4" s="1"/>
  <c r="D104" i="4"/>
  <c r="K104" i="4" s="1"/>
  <c r="F261" i="3"/>
  <c r="F201" i="3"/>
  <c r="G188" i="3"/>
  <c r="F130" i="3"/>
  <c r="F107" i="3"/>
  <c r="F71" i="3"/>
  <c r="F69" i="3" s="1"/>
  <c r="D198" i="4"/>
  <c r="K198" i="4" s="1"/>
  <c r="D108" i="4"/>
  <c r="K108" i="4" s="1"/>
  <c r="E77" i="4"/>
  <c r="H215" i="4"/>
  <c r="F213" i="4"/>
  <c r="I69" i="9"/>
  <c r="I68" i="9" s="1"/>
  <c r="E57" i="9"/>
  <c r="F57" i="9"/>
  <c r="G77" i="9"/>
  <c r="H68" i="3"/>
  <c r="H66" i="3" s="1"/>
  <c r="H52" i="3" s="1"/>
  <c r="D45" i="4"/>
  <c r="G314" i="3"/>
  <c r="G312" i="3" s="1"/>
  <c r="G310" i="3" s="1"/>
  <c r="L271" i="3"/>
  <c r="L269" i="3" s="1"/>
  <c r="G71" i="9"/>
  <c r="G630" i="7"/>
  <c r="K301" i="3"/>
  <c r="K299" i="3" s="1"/>
  <c r="G62" i="9"/>
  <c r="G757" i="7"/>
  <c r="G69" i="9"/>
  <c r="G68" i="9" s="1"/>
  <c r="G86" i="9"/>
  <c r="I301" i="3"/>
  <c r="I299" i="3" s="1"/>
  <c r="J430" i="7"/>
  <c r="J410" i="7" s="1"/>
  <c r="J69" i="9"/>
  <c r="J68" i="9" s="1"/>
  <c r="J116" i="9"/>
  <c r="F147" i="3"/>
  <c r="F145" i="3" s="1"/>
  <c r="G348" i="7"/>
  <c r="D116" i="9"/>
  <c r="H72" i="9"/>
  <c r="J59" i="9"/>
  <c r="J58" i="9" s="1"/>
  <c r="H71" i="9"/>
  <c r="D48" i="9"/>
  <c r="D47" i="9" s="1"/>
  <c r="I75" i="9"/>
  <c r="I73" i="9" s="1"/>
  <c r="H615" i="7"/>
  <c r="H610" i="7" s="1"/>
  <c r="M728" i="7"/>
  <c r="M726" i="7" s="1"/>
  <c r="G65" i="9"/>
  <c r="G64" i="9" s="1"/>
  <c r="D58" i="9"/>
  <c r="G119" i="9"/>
  <c r="D62" i="9"/>
  <c r="I72" i="9"/>
  <c r="E25" i="9"/>
  <c r="E24" i="9" s="1"/>
  <c r="E17" i="9" s="1"/>
  <c r="D125" i="9"/>
  <c r="I62" i="9"/>
  <c r="G79" i="9"/>
  <c r="I59" i="9"/>
  <c r="I58" i="9" s="1"/>
  <c r="J77" i="9"/>
  <c r="D52" i="9"/>
  <c r="D51" i="9" s="1"/>
  <c r="G122" i="9"/>
  <c r="I125" i="9"/>
  <c r="H62" i="9"/>
  <c r="I77" i="9"/>
  <c r="I71" i="9"/>
  <c r="G72" i="9"/>
  <c r="D77" i="9"/>
  <c r="H59" i="9"/>
  <c r="H58" i="9" s="1"/>
  <c r="D122" i="9"/>
  <c r="G125" i="9"/>
  <c r="H60" i="9"/>
  <c r="D119" i="9"/>
  <c r="J65" i="9"/>
  <c r="J64" i="9" s="1"/>
  <c r="H79" i="9"/>
  <c r="G60" i="9"/>
  <c r="G75" i="9"/>
  <c r="G73" i="9" s="1"/>
  <c r="D79" i="9"/>
  <c r="D60" i="9"/>
  <c r="I65" i="9"/>
  <c r="I64" i="9" s="1"/>
  <c r="J79" i="9"/>
  <c r="J81" i="9"/>
  <c r="I119" i="9"/>
  <c r="E76" i="9"/>
  <c r="J73" i="9"/>
  <c r="H75" i="9"/>
  <c r="H65" i="9"/>
  <c r="H64" i="9" s="1"/>
  <c r="D86" i="9"/>
  <c r="D26" i="9"/>
  <c r="H122" i="9"/>
  <c r="D81" i="9"/>
  <c r="D73" i="9"/>
  <c r="K38" i="3"/>
  <c r="D68" i="9"/>
  <c r="D66" i="9" s="1"/>
  <c r="H68" i="9"/>
  <c r="M563" i="7"/>
  <c r="L225" i="3" s="1"/>
  <c r="H722" i="7"/>
  <c r="I28" i="3"/>
  <c r="E176" i="4"/>
  <c r="F239" i="3"/>
  <c r="F236" i="3" s="1"/>
  <c r="M101" i="7"/>
  <c r="L39" i="3" s="1"/>
  <c r="L761" i="7"/>
  <c r="I25" i="4" s="1"/>
  <c r="H776" i="7"/>
  <c r="K32" i="3"/>
  <c r="I187" i="3"/>
  <c r="I185" i="3" s="1"/>
  <c r="I168" i="3" s="1"/>
  <c r="J761" i="7"/>
  <c r="G25" i="4" s="1"/>
  <c r="H728" i="7"/>
  <c r="H726" i="7" s="1"/>
  <c r="I610" i="7"/>
  <c r="K246" i="3"/>
  <c r="K244" i="3" s="1"/>
  <c r="F32" i="3"/>
  <c r="E40" i="4"/>
  <c r="J32" i="3"/>
  <c r="G430" i="7"/>
  <c r="I640" i="7"/>
  <c r="I638" i="7" s="1"/>
  <c r="H739" i="7"/>
  <c r="G298" i="3" s="1"/>
  <c r="G296" i="3" s="1"/>
  <c r="K41" i="3"/>
  <c r="H631" i="7"/>
  <c r="H630" i="7" s="1"/>
  <c r="M631" i="7"/>
  <c r="M630" i="7" s="1"/>
  <c r="L356" i="7"/>
  <c r="K181" i="3"/>
  <c r="K179" i="3" s="1"/>
  <c r="G446" i="7"/>
  <c r="D63" i="4"/>
  <c r="K63" i="4" s="1"/>
  <c r="I19" i="3"/>
  <c r="E102" i="4"/>
  <c r="J225" i="4"/>
  <c r="K225" i="4" s="1"/>
  <c r="H225" i="4"/>
  <c r="D164" i="4"/>
  <c r="K164" i="4" s="1"/>
  <c r="H222" i="4"/>
  <c r="D223" i="4"/>
  <c r="I234" i="4"/>
  <c r="I231" i="4" s="1"/>
  <c r="G227" i="4"/>
  <c r="I218" i="4"/>
  <c r="G218" i="4"/>
  <c r="J227" i="4"/>
  <c r="K227" i="4" s="1"/>
  <c r="I227" i="4"/>
  <c r="J222" i="4"/>
  <c r="K222" i="4" s="1"/>
  <c r="D207" i="4"/>
  <c r="K207" i="4" s="1"/>
  <c r="J122" i="3"/>
  <c r="J120" i="3" s="1"/>
  <c r="E48" i="4"/>
  <c r="J19" i="3"/>
  <c r="K221" i="3"/>
  <c r="K219" i="3" s="1"/>
  <c r="F301" i="3"/>
  <c r="F299" i="3" s="1"/>
  <c r="L292" i="3"/>
  <c r="E65" i="4"/>
  <c r="J610" i="7"/>
  <c r="J154" i="7"/>
  <c r="J130" i="7" s="1"/>
  <c r="H588" i="7"/>
  <c r="G230" i="3" s="1"/>
  <c r="L289" i="3"/>
  <c r="L287" i="3" s="1"/>
  <c r="J630" i="7"/>
  <c r="K630" i="7"/>
  <c r="G640" i="7"/>
  <c r="I432" i="7"/>
  <c r="I430" i="7" s="1"/>
  <c r="M448" i="7"/>
  <c r="M446" i="7" s="1"/>
  <c r="E66" i="4"/>
  <c r="I167" i="3"/>
  <c r="I165" i="3" s="1"/>
  <c r="I148" i="3" s="1"/>
  <c r="E72" i="4"/>
  <c r="E50" i="4"/>
  <c r="G167" i="3"/>
  <c r="G165" i="3" s="1"/>
  <c r="F185" i="4"/>
  <c r="E145" i="4"/>
  <c r="H746" i="7"/>
  <c r="H744" i="7" s="1"/>
  <c r="M746" i="7"/>
  <c r="L301" i="3" s="1"/>
  <c r="L299" i="3" s="1"/>
  <c r="H759" i="7"/>
  <c r="G308" i="3" s="1"/>
  <c r="G306" i="3" s="1"/>
  <c r="J251" i="3"/>
  <c r="J249" i="3" s="1"/>
  <c r="J247" i="3" s="1"/>
  <c r="J279" i="7"/>
  <c r="D155" i="4"/>
  <c r="K155" i="4" s="1"/>
  <c r="M96" i="7"/>
  <c r="M94" i="7" s="1"/>
  <c r="L36" i="3" s="1"/>
  <c r="J555" i="7"/>
  <c r="I222" i="3" s="1"/>
  <c r="K744" i="7"/>
  <c r="E69" i="4"/>
  <c r="F167" i="3"/>
  <c r="F165" i="3" s="1"/>
  <c r="M78" i="7"/>
  <c r="L32" i="3" s="1"/>
  <c r="E62" i="4"/>
  <c r="E60" i="4" s="1"/>
  <c r="M156" i="7"/>
  <c r="L68" i="3" s="1"/>
  <c r="L66" i="3" s="1"/>
  <c r="L52" i="3" s="1"/>
  <c r="H281" i="7"/>
  <c r="G122" i="3" s="1"/>
  <c r="G120" i="3" s="1"/>
  <c r="G95" i="3" s="1"/>
  <c r="K638" i="7"/>
  <c r="M281" i="7"/>
  <c r="L122" i="3" s="1"/>
  <c r="L120" i="3" s="1"/>
  <c r="M759" i="7"/>
  <c r="M757" i="7" s="1"/>
  <c r="L640" i="7"/>
  <c r="L638" i="7" s="1"/>
  <c r="G94" i="7"/>
  <c r="E43" i="4"/>
  <c r="I281" i="7"/>
  <c r="I279" i="7" s="1"/>
  <c r="I219" i="7" s="1"/>
  <c r="E42" i="4"/>
  <c r="H557" i="7"/>
  <c r="G224" i="3" s="1"/>
  <c r="M557" i="7"/>
  <c r="L224" i="3" s="1"/>
  <c r="H563" i="7"/>
  <c r="G225" i="3" s="1"/>
  <c r="G226" i="3"/>
  <c r="M588" i="7"/>
  <c r="L230" i="3" s="1"/>
  <c r="I224" i="3"/>
  <c r="J638" i="7"/>
  <c r="E158" i="4"/>
  <c r="E155" i="4" s="1"/>
  <c r="E41" i="4"/>
  <c r="M358" i="7"/>
  <c r="M356" i="7" s="1"/>
  <c r="H432" i="7"/>
  <c r="H430" i="7" s="1"/>
  <c r="H544" i="7"/>
  <c r="H542" i="7" s="1"/>
  <c r="G251" i="3"/>
  <c r="G249" i="3" s="1"/>
  <c r="H640" i="7"/>
  <c r="M640" i="7"/>
  <c r="M638" i="7" s="1"/>
  <c r="L251" i="3"/>
  <c r="L249" i="3" s="1"/>
  <c r="K101" i="7"/>
  <c r="J39" i="3" s="1"/>
  <c r="K759" i="7"/>
  <c r="E39" i="4"/>
  <c r="I588" i="7"/>
  <c r="H230" i="3" s="1"/>
  <c r="H78" i="7"/>
  <c r="H68" i="7" s="1"/>
  <c r="J181" i="3"/>
  <c r="J179" i="3" s="1"/>
  <c r="J168" i="3" s="1"/>
  <c r="K154" i="7"/>
  <c r="K130" i="7" s="1"/>
  <c r="K397" i="7"/>
  <c r="L410" i="7"/>
  <c r="H96" i="7"/>
  <c r="I221" i="3"/>
  <c r="I219" i="3" s="1"/>
  <c r="L397" i="7"/>
  <c r="I251" i="3"/>
  <c r="I249" i="3" s="1"/>
  <c r="I247" i="3" s="1"/>
  <c r="K94" i="7"/>
  <c r="J36" i="3" s="1"/>
  <c r="J101" i="7"/>
  <c r="I39" i="3" s="1"/>
  <c r="I744" i="7"/>
  <c r="I96" i="7"/>
  <c r="M432" i="7"/>
  <c r="H448" i="7"/>
  <c r="H446" i="7" s="1"/>
  <c r="I448" i="7"/>
  <c r="H187" i="3" s="1"/>
  <c r="H185" i="3" s="1"/>
  <c r="M544" i="7"/>
  <c r="M542" i="7" s="1"/>
  <c r="K356" i="7"/>
  <c r="H358" i="7"/>
  <c r="H356" i="7" s="1"/>
  <c r="L226" i="3"/>
  <c r="D18" i="9"/>
  <c r="K446" i="7"/>
  <c r="K410" i="7" s="1"/>
  <c r="K187" i="3"/>
  <c r="K185" i="3" s="1"/>
  <c r="J356" i="7"/>
  <c r="J354" i="7" s="1"/>
  <c r="H247" i="3"/>
  <c r="D67" i="4"/>
  <c r="D140" i="4"/>
  <c r="J148" i="3"/>
  <c r="E25" i="4"/>
  <c r="E23" i="4" s="1"/>
  <c r="E21" i="4" s="1"/>
  <c r="K148" i="3"/>
  <c r="K542" i="7"/>
  <c r="G542" i="7"/>
  <c r="E96" i="4"/>
  <c r="E94" i="4" s="1"/>
  <c r="L239" i="3"/>
  <c r="L236" i="3" s="1"/>
  <c r="M610" i="7"/>
  <c r="L610" i="7"/>
  <c r="E154" i="4"/>
  <c r="E151" i="4" s="1"/>
  <c r="L555" i="7"/>
  <c r="K222" i="3" s="1"/>
  <c r="K555" i="7"/>
  <c r="K247" i="3"/>
  <c r="G271" i="3"/>
  <c r="G269" i="3" s="1"/>
  <c r="H690" i="7"/>
  <c r="K122" i="3"/>
  <c r="K120" i="3" s="1"/>
  <c r="E76" i="4"/>
  <c r="G279" i="7"/>
  <c r="L16" i="7"/>
  <c r="K68" i="3"/>
  <c r="K66" i="3" s="1"/>
  <c r="K52" i="3" s="1"/>
  <c r="I38" i="3"/>
  <c r="I36" i="3"/>
  <c r="D36" i="4"/>
  <c r="D50" i="4"/>
  <c r="K50" i="4" s="1"/>
  <c r="K228" i="4" l="1"/>
  <c r="I81" i="9"/>
  <c r="I91" i="9"/>
  <c r="J45" i="4"/>
  <c r="K45" i="4" s="1"/>
  <c r="H91" i="9"/>
  <c r="F188" i="3"/>
  <c r="G91" i="9"/>
  <c r="J99" i="9"/>
  <c r="J91" i="9" s="1"/>
  <c r="K67" i="4"/>
  <c r="K36" i="4"/>
  <c r="D21" i="4"/>
  <c r="K21" i="4" s="1"/>
  <c r="K23" i="4"/>
  <c r="K215" i="4"/>
  <c r="K230" i="4"/>
  <c r="D77" i="4"/>
  <c r="K77" i="4" s="1"/>
  <c r="K79" i="4"/>
  <c r="D134" i="4"/>
  <c r="K134" i="4" s="1"/>
  <c r="K140" i="4"/>
  <c r="E174" i="4"/>
  <c r="K168" i="4"/>
  <c r="K170" i="4"/>
  <c r="J48" i="9"/>
  <c r="J47" i="9" s="1"/>
  <c r="G48" i="9"/>
  <c r="G47" i="9" s="1"/>
  <c r="J26" i="9"/>
  <c r="J25" i="9" s="1"/>
  <c r="G26" i="9"/>
  <c r="G25" i="9" s="1"/>
  <c r="H26" i="9"/>
  <c r="H25" i="9" s="1"/>
  <c r="H24" i="9" s="1"/>
  <c r="I26" i="9"/>
  <c r="I25" i="9" s="1"/>
  <c r="H48" i="9"/>
  <c r="H47" i="9" s="1"/>
  <c r="I48" i="9"/>
  <c r="I47" i="9" s="1"/>
  <c r="F247" i="3"/>
  <c r="H73" i="9"/>
  <c r="F28" i="3"/>
  <c r="F168" i="3"/>
  <c r="F95" i="3"/>
  <c r="H774" i="7"/>
  <c r="F36" i="3"/>
  <c r="G638" i="7"/>
  <c r="D90" i="9"/>
  <c r="G231" i="4"/>
  <c r="G223" i="4"/>
  <c r="G220" i="4" s="1"/>
  <c r="H231" i="4"/>
  <c r="J231" i="4"/>
  <c r="K231" i="4" s="1"/>
  <c r="H223" i="4"/>
  <c r="H220" i="4" s="1"/>
  <c r="I223" i="4"/>
  <c r="I220" i="4" s="1"/>
  <c r="I213" i="4" s="1"/>
  <c r="I176" i="4" s="1"/>
  <c r="D220" i="4"/>
  <c r="G18" i="9"/>
  <c r="I18" i="9"/>
  <c r="J18" i="9"/>
  <c r="I147" i="3"/>
  <c r="I145" i="3" s="1"/>
  <c r="I95" i="3" s="1"/>
  <c r="K219" i="7"/>
  <c r="J34" i="4"/>
  <c r="J19" i="4" s="1"/>
  <c r="D102" i="4"/>
  <c r="K102" i="4" s="1"/>
  <c r="D25" i="9"/>
  <c r="D24" i="9" s="1"/>
  <c r="D17" i="9" s="1"/>
  <c r="L95" i="3"/>
  <c r="L247" i="3"/>
  <c r="H181" i="3"/>
  <c r="H179" i="3" s="1"/>
  <c r="H168" i="3" s="1"/>
  <c r="M348" i="7"/>
  <c r="G246" i="3"/>
  <c r="G244" i="3" s="1"/>
  <c r="J122" i="9"/>
  <c r="J95" i="3"/>
  <c r="H86" i="9"/>
  <c r="G239" i="3"/>
  <c r="G236" i="3" s="1"/>
  <c r="H125" i="9"/>
  <c r="G219" i="7"/>
  <c r="H116" i="9"/>
  <c r="H66" i="9"/>
  <c r="H57" i="9" s="1"/>
  <c r="I122" i="9"/>
  <c r="M154" i="7"/>
  <c r="M130" i="7" s="1"/>
  <c r="J759" i="7"/>
  <c r="I308" i="3" s="1"/>
  <c r="I306" i="3" s="1"/>
  <c r="I278" i="3" s="1"/>
  <c r="J125" i="9"/>
  <c r="I86" i="9"/>
  <c r="J119" i="9"/>
  <c r="G116" i="9"/>
  <c r="J66" i="9"/>
  <c r="J57" i="9" s="1"/>
  <c r="H119" i="9"/>
  <c r="G221" i="3"/>
  <c r="G219" i="3" s="1"/>
  <c r="J86" i="9"/>
  <c r="I66" i="9"/>
  <c r="I57" i="9" s="1"/>
  <c r="G81" i="9"/>
  <c r="J24" i="9"/>
  <c r="G90" i="9"/>
  <c r="J90" i="9"/>
  <c r="D57" i="9"/>
  <c r="I24" i="9"/>
  <c r="E16" i="9"/>
  <c r="D76" i="9"/>
  <c r="H90" i="9"/>
  <c r="I90" i="9"/>
  <c r="G24" i="9"/>
  <c r="G66" i="9"/>
  <c r="G57" i="9" s="1"/>
  <c r="H18" i="9"/>
  <c r="H17" i="9" s="1"/>
  <c r="L308" i="3"/>
  <c r="L306" i="3" s="1"/>
  <c r="J219" i="7"/>
  <c r="H279" i="7"/>
  <c r="H219" i="7" s="1"/>
  <c r="M744" i="7"/>
  <c r="L759" i="7"/>
  <c r="K308" i="3" s="1"/>
  <c r="K306" i="3" s="1"/>
  <c r="K278" i="3" s="1"/>
  <c r="L354" i="7"/>
  <c r="G410" i="7"/>
  <c r="K147" i="3"/>
  <c r="K145" i="3" s="1"/>
  <c r="K95" i="3" s="1"/>
  <c r="L219" i="7"/>
  <c r="H638" i="7"/>
  <c r="L246" i="3"/>
  <c r="L244" i="3" s="1"/>
  <c r="E140" i="4"/>
  <c r="E134" i="4" s="1"/>
  <c r="H737" i="7"/>
  <c r="L38" i="3"/>
  <c r="L28" i="3"/>
  <c r="L152" i="3"/>
  <c r="L150" i="3" s="1"/>
  <c r="E45" i="4"/>
  <c r="K168" i="3"/>
  <c r="G301" i="3"/>
  <c r="G299" i="3" s="1"/>
  <c r="G278" i="3" s="1"/>
  <c r="L187" i="3"/>
  <c r="L185" i="3" s="1"/>
  <c r="K217" i="3"/>
  <c r="L221" i="3"/>
  <c r="L219" i="3" s="1"/>
  <c r="G187" i="3"/>
  <c r="G185" i="3" s="1"/>
  <c r="J223" i="4"/>
  <c r="J220" i="4" s="1"/>
  <c r="E63" i="4"/>
  <c r="J21" i="3"/>
  <c r="E67" i="4"/>
  <c r="H167" i="3"/>
  <c r="H165" i="3" s="1"/>
  <c r="I397" i="7"/>
  <c r="G152" i="3"/>
  <c r="G150" i="3" s="1"/>
  <c r="G148" i="3" s="1"/>
  <c r="I217" i="3"/>
  <c r="M279" i="7"/>
  <c r="E36" i="4"/>
  <c r="I17" i="3"/>
  <c r="J16" i="7"/>
  <c r="H397" i="7"/>
  <c r="H354" i="7" s="1"/>
  <c r="G181" i="3"/>
  <c r="G179" i="3" s="1"/>
  <c r="K16" i="7"/>
  <c r="J17" i="3"/>
  <c r="H410" i="7"/>
  <c r="H757" i="7"/>
  <c r="J540" i="7"/>
  <c r="H122" i="3"/>
  <c r="H120" i="3" s="1"/>
  <c r="H95" i="3" s="1"/>
  <c r="K354" i="7"/>
  <c r="G247" i="3"/>
  <c r="H555" i="7"/>
  <c r="H540" i="7" s="1"/>
  <c r="H94" i="7"/>
  <c r="G38" i="3"/>
  <c r="M430" i="7"/>
  <c r="M410" i="7" s="1"/>
  <c r="L181" i="3"/>
  <c r="L179" i="3" s="1"/>
  <c r="M397" i="7"/>
  <c r="M354" i="7" s="1"/>
  <c r="L167" i="3"/>
  <c r="L165" i="3" s="1"/>
  <c r="J308" i="3"/>
  <c r="J306" i="3" s="1"/>
  <c r="J278" i="3" s="1"/>
  <c r="K757" i="7"/>
  <c r="K707" i="7" s="1"/>
  <c r="M555" i="7"/>
  <c r="L222" i="3" s="1"/>
  <c r="I446" i="7"/>
  <c r="I410" i="7" s="1"/>
  <c r="L21" i="3"/>
  <c r="I94" i="7"/>
  <c r="H38" i="3"/>
  <c r="G28" i="3"/>
  <c r="G32" i="3"/>
  <c r="D34" i="4"/>
  <c r="L540" i="7"/>
  <c r="K540" i="7"/>
  <c r="J222" i="3"/>
  <c r="J217" i="3" s="1"/>
  <c r="K19" i="3"/>
  <c r="K17" i="3" s="1"/>
  <c r="K34" i="4" l="1"/>
  <c r="K220" i="4"/>
  <c r="K223" i="4"/>
  <c r="J17" i="9"/>
  <c r="G17" i="9"/>
  <c r="I17" i="9"/>
  <c r="G213" i="4"/>
  <c r="G176" i="4" s="1"/>
  <c r="J213" i="4"/>
  <c r="J176" i="4" s="1"/>
  <c r="K176" i="4" s="1"/>
  <c r="H213" i="4"/>
  <c r="H176" i="4" s="1"/>
  <c r="D213" i="4"/>
  <c r="K213" i="4" s="1"/>
  <c r="G76" i="9"/>
  <c r="M219" i="7"/>
  <c r="I76" i="9"/>
  <c r="J757" i="7"/>
  <c r="J707" i="7" s="1"/>
  <c r="J15" i="7" s="1"/>
  <c r="J76" i="9"/>
  <c r="H707" i="7"/>
  <c r="H76" i="9"/>
  <c r="D16" i="9"/>
  <c r="G168" i="3"/>
  <c r="L757" i="7"/>
  <c r="L707" i="7" s="1"/>
  <c r="L15" i="7" s="1"/>
  <c r="L148" i="3"/>
  <c r="L168" i="3"/>
  <c r="L217" i="3"/>
  <c r="K16" i="3"/>
  <c r="E34" i="4"/>
  <c r="I16" i="3"/>
  <c r="J16" i="3"/>
  <c r="G222" i="3"/>
  <c r="G217" i="3" s="1"/>
  <c r="M540" i="7"/>
  <c r="H36" i="3"/>
  <c r="L19" i="3"/>
  <c r="L17" i="3" s="1"/>
  <c r="M16" i="7"/>
  <c r="G36" i="3"/>
  <c r="K15" i="7"/>
  <c r="U11" i="7" l="1"/>
  <c r="U16" i="7"/>
  <c r="T11" i="7"/>
  <c r="T13" i="7"/>
  <c r="T16" i="7"/>
  <c r="S11" i="7"/>
  <c r="S16" i="7"/>
  <c r="G16" i="9"/>
  <c r="F16" i="15" s="1"/>
  <c r="J16" i="9"/>
  <c r="I16" i="9"/>
  <c r="H16" i="15" s="1"/>
  <c r="H16" i="9"/>
  <c r="G16" i="15" s="1"/>
  <c r="G739" i="7"/>
  <c r="I739" i="7"/>
  <c r="H298" i="3" s="1"/>
  <c r="H296" i="3" s="1"/>
  <c r="H278" i="3" s="1"/>
  <c r="S13" i="7" l="1"/>
  <c r="U13" i="7"/>
  <c r="F298" i="3"/>
  <c r="F296" i="3" s="1"/>
  <c r="F278" i="3" s="1"/>
  <c r="G737" i="7"/>
  <c r="I737" i="7"/>
  <c r="I707" i="7" s="1"/>
  <c r="M739" i="7"/>
  <c r="G707" i="7" l="1"/>
  <c r="M737" i="7"/>
  <c r="M707" i="7" s="1"/>
  <c r="M15" i="7" s="1"/>
  <c r="L298" i="3"/>
  <c r="L296" i="3" s="1"/>
  <c r="L278" i="3" s="1"/>
  <c r="L16" i="3" s="1"/>
  <c r="V13" i="7" l="1"/>
  <c r="V16" i="7"/>
  <c r="V11" i="7"/>
  <c r="I16" i="15"/>
  <c r="D192" i="4"/>
  <c r="K192" i="4" s="1"/>
  <c r="F191" i="4"/>
  <c r="F189" i="4"/>
  <c r="G18" i="7"/>
  <c r="D184" i="4"/>
  <c r="K184" i="4" s="1"/>
  <c r="G21" i="3"/>
  <c r="H21" i="3" l="1"/>
  <c r="D182" i="4"/>
  <c r="K182" i="4" s="1"/>
  <c r="F184" i="4"/>
  <c r="F182" i="4" s="1"/>
  <c r="F19" i="3"/>
  <c r="F21" i="3"/>
  <c r="I16" i="7" l="1"/>
  <c r="G19" i="3"/>
  <c r="H19" i="3" l="1"/>
  <c r="H17" i="3" s="1"/>
  <c r="D173" i="4"/>
  <c r="D171" i="4" s="1"/>
  <c r="K171" i="4" s="1"/>
  <c r="E173" i="4"/>
  <c r="K173" i="4" s="1"/>
  <c r="F41" i="3"/>
  <c r="D149" i="4" l="1"/>
  <c r="K149" i="4" s="1"/>
  <c r="E171" i="4"/>
  <c r="E149" i="4" s="1"/>
  <c r="G41" i="3"/>
  <c r="G101" i="7"/>
  <c r="G16" i="7" l="1"/>
  <c r="H101" i="7"/>
  <c r="G39" i="3" s="1"/>
  <c r="G17" i="3" s="1"/>
  <c r="F39" i="3"/>
  <c r="F17" i="3" s="1"/>
  <c r="H16" i="7" l="1"/>
  <c r="D100" i="4"/>
  <c r="K100" i="4" s="1"/>
  <c r="G156" i="7"/>
  <c r="E100" i="4"/>
  <c r="E98" i="4" s="1"/>
  <c r="E92" i="4" s="1"/>
  <c r="E19" i="4" s="1"/>
  <c r="E17" i="4" s="1"/>
  <c r="G154" i="7" l="1"/>
  <c r="D98" i="4"/>
  <c r="F68" i="3"/>
  <c r="F66" i="3" s="1"/>
  <c r="F52" i="3" s="1"/>
  <c r="H156" i="7"/>
  <c r="D92" i="4" l="1"/>
  <c r="K98" i="4"/>
  <c r="G130" i="7"/>
  <c r="H154" i="7"/>
  <c r="H130" i="7" s="1"/>
  <c r="H15" i="7" s="1"/>
  <c r="G68" i="3"/>
  <c r="G66" i="3" s="1"/>
  <c r="G52" i="3" s="1"/>
  <c r="G16" i="3" s="1"/>
  <c r="Q11" i="7" l="1"/>
  <c r="Q16" i="7"/>
  <c r="Q13" i="7"/>
  <c r="Q10" i="7"/>
  <c r="L17" i="4"/>
  <c r="D19" i="4"/>
  <c r="K19" i="4" s="1"/>
  <c r="K92" i="4"/>
  <c r="D16" i="15"/>
  <c r="I358" i="7"/>
  <c r="H152" i="3" s="1"/>
  <c r="H150" i="3" s="1"/>
  <c r="H148" i="3" s="1"/>
  <c r="G358" i="7"/>
  <c r="G356" i="7" l="1"/>
  <c r="F152" i="3"/>
  <c r="F150" i="3" s="1"/>
  <c r="F148" i="3" s="1"/>
  <c r="I356" i="7"/>
  <c r="I354" i="7" s="1"/>
  <c r="G354" i="7" l="1"/>
  <c r="G557" i="7"/>
  <c r="I557" i="7"/>
  <c r="I555" i="7" s="1"/>
  <c r="D187" i="4"/>
  <c r="K187" i="4" s="1"/>
  <c r="G555" i="7" l="1"/>
  <c r="D180" i="4"/>
  <c r="I540" i="7"/>
  <c r="I15" i="7" s="1"/>
  <c r="R16" i="7" s="1"/>
  <c r="H222" i="3"/>
  <c r="H217" i="3" s="1"/>
  <c r="H16" i="3" s="1"/>
  <c r="F190" i="4"/>
  <c r="F187" i="4" s="1"/>
  <c r="F180" i="4" s="1"/>
  <c r="F178" i="4" s="1"/>
  <c r="F224" i="3"/>
  <c r="R11" i="7" l="1"/>
  <c r="D178" i="4"/>
  <c r="K180" i="4"/>
  <c r="G540" i="7"/>
  <c r="F222" i="3"/>
  <c r="F217" i="3" s="1"/>
  <c r="F16" i="3" s="1"/>
  <c r="F17" i="4"/>
  <c r="M17" i="4" l="1"/>
  <c r="R10" i="7"/>
  <c r="D17" i="4"/>
  <c r="K178" i="4"/>
  <c r="G15" i="7"/>
  <c r="P11" i="7" s="1"/>
  <c r="F127" i="9"/>
  <c r="F176" i="4"/>
  <c r="F174" i="4" s="1"/>
  <c r="F149" i="4" s="1"/>
  <c r="F19" i="4" s="1"/>
  <c r="I774" i="7"/>
  <c r="H314" i="3"/>
  <c r="H312" i="3" s="1"/>
  <c r="H310" i="3" s="1"/>
  <c r="P16" i="7" l="1"/>
  <c r="P13" i="7"/>
  <c r="K17" i="4"/>
  <c r="P10" i="7"/>
  <c r="C16" i="15"/>
  <c r="F125" i="9"/>
  <c r="F76" i="9" s="1"/>
  <c r="F16" i="9" s="1"/>
  <c r="R13" i="7" s="1"/>
  <c r="D127" i="9"/>
  <c r="E16" i="15" l="1"/>
  <c r="I121" i="4" l="1"/>
  <c r="H121" i="4" s="1"/>
  <c r="G121" i="4" s="1"/>
  <c r="I33" i="4"/>
  <c r="I30" i="4"/>
  <c r="I122" i="4"/>
  <c r="H122" i="4" s="1"/>
  <c r="G122" i="4" s="1"/>
  <c r="I120" i="4"/>
  <c r="I49" i="4"/>
  <c r="I97" i="4"/>
  <c r="I23" i="4" l="1"/>
  <c r="I94" i="4"/>
  <c r="H97" i="4"/>
  <c r="I98" i="4"/>
  <c r="I104" i="4"/>
  <c r="I129" i="4"/>
  <c r="I36" i="4"/>
  <c r="I87" i="4"/>
  <c r="I136" i="4"/>
  <c r="I134" i="4" s="1"/>
  <c r="I28" i="4"/>
  <c r="H30" i="4"/>
  <c r="I118" i="4"/>
  <c r="I112" i="4" s="1"/>
  <c r="H120" i="4"/>
  <c r="I31" i="4"/>
  <c r="H33" i="4"/>
  <c r="I123" i="4"/>
  <c r="I45" i="4"/>
  <c r="H49" i="4"/>
  <c r="I79" i="4"/>
  <c r="I83" i="4"/>
  <c r="I108" i="4"/>
  <c r="I77" i="4" l="1"/>
  <c r="I21" i="4"/>
  <c r="H108" i="4"/>
  <c r="G108" i="4"/>
  <c r="H79" i="4"/>
  <c r="G79" i="4"/>
  <c r="H118" i="4"/>
  <c r="G120" i="4"/>
  <c r="G118" i="4" s="1"/>
  <c r="H112" i="4"/>
  <c r="H87" i="4"/>
  <c r="G87" i="4"/>
  <c r="H129" i="4"/>
  <c r="H123" i="4" s="1"/>
  <c r="G129" i="4"/>
  <c r="H98" i="4"/>
  <c r="G98" i="4"/>
  <c r="H23" i="4"/>
  <c r="G23" i="4"/>
  <c r="I92" i="4"/>
  <c r="H83" i="4"/>
  <c r="G83" i="4"/>
  <c r="H45" i="4"/>
  <c r="G49" i="4"/>
  <c r="G45" i="4" s="1"/>
  <c r="H31" i="4"/>
  <c r="G33" i="4"/>
  <c r="G31" i="4" s="1"/>
  <c r="H28" i="4"/>
  <c r="G30" i="4"/>
  <c r="G28" i="4" s="1"/>
  <c r="H136" i="4"/>
  <c r="H134" i="4" s="1"/>
  <c r="G136" i="4"/>
  <c r="G134" i="4" s="1"/>
  <c r="H36" i="4"/>
  <c r="G36" i="4"/>
  <c r="H104" i="4"/>
  <c r="G104" i="4"/>
  <c r="H94" i="4"/>
  <c r="G97" i="4"/>
  <c r="G94" i="4" s="1"/>
  <c r="I34" i="4"/>
  <c r="I102" i="4"/>
  <c r="H34" i="4" l="1"/>
  <c r="G21" i="4"/>
  <c r="H92" i="4"/>
  <c r="G34" i="4"/>
  <c r="G77" i="4"/>
  <c r="I19" i="4"/>
  <c r="H21" i="4"/>
  <c r="H102" i="4"/>
  <c r="G112" i="4"/>
  <c r="G123" i="4"/>
  <c r="G92" i="4"/>
  <c r="H77" i="4"/>
  <c r="G102" i="4" l="1"/>
  <c r="G19" i="4" s="1"/>
  <c r="G17" i="4" s="1"/>
  <c r="H19" i="4"/>
  <c r="H17" i="4" s="1"/>
  <c r="J127" i="9"/>
  <c r="I17" i="4"/>
  <c r="I127" i="9"/>
  <c r="H174" i="4"/>
  <c r="I314" i="3"/>
  <c r="I312" i="3" s="1"/>
  <c r="I310" i="3" s="1"/>
  <c r="J17" i="4"/>
  <c r="Q17" i="4" l="1"/>
  <c r="V10" i="7"/>
  <c r="P17" i="4"/>
  <c r="U10" i="7"/>
  <c r="O17" i="4"/>
  <c r="T10" i="7"/>
  <c r="N17" i="4"/>
  <c r="S10" i="7"/>
  <c r="L314" i="3"/>
  <c r="L312" i="3" s="1"/>
  <c r="L310" i="3" s="1"/>
  <c r="G174" i="4"/>
  <c r="L776" i="7"/>
  <c r="L774" i="7" s="1"/>
  <c r="K314" i="3"/>
  <c r="K312" i="3" s="1"/>
  <c r="K310" i="3" s="1"/>
  <c r="J776" i="7"/>
  <c r="J774" i="7" s="1"/>
  <c r="G127" i="9"/>
  <c r="J314" i="3"/>
  <c r="J312" i="3" s="1"/>
  <c r="J310" i="3" s="1"/>
  <c r="M776" i="7"/>
  <c r="M774" i="7" s="1"/>
  <c r="H127" i="9"/>
  <c r="K776" i="7"/>
  <c r="K774" i="7" s="1"/>
  <c r="I174" i="4"/>
  <c r="J174" i="4" l="1"/>
  <c r="K174" i="4" s="1"/>
</calcChain>
</file>

<file path=xl/sharedStrings.xml><?xml version="1.0" encoding="utf-8"?>
<sst xmlns="http://schemas.openxmlformats.org/spreadsheetml/2006/main" count="2600" uniqueCount="872">
  <si>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</si>
  <si>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</si>
  <si>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</si>
  <si>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</si>
  <si>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</si>
  <si>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</si>
  <si>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</si>
  <si>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</si>
  <si>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</si>
  <si>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</si>
  <si>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</si>
  <si>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</si>
  <si>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</si>
  <si>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</si>
  <si>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</si>
  <si>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</si>
  <si>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</si>
  <si>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</si>
  <si>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</si>
  <si>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</si>
  <si>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</si>
  <si>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</si>
  <si>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</si>
  <si>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</si>
  <si>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</si>
  <si>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</si>
  <si>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</si>
  <si>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</si>
  <si>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</si>
  <si>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</si>
  <si>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</si>
  <si>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</si>
  <si>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</si>
  <si>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</si>
  <si>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</si>
  <si>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</si>
  <si>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</si>
  <si>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</si>
  <si>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</si>
  <si>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</si>
  <si>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</si>
  <si>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</si>
  <si>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</si>
  <si>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</si>
  <si>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</si>
  <si>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</si>
  <si>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</si>
  <si>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</si>
  <si>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</si>
  <si>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</si>
  <si>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</si>
  <si>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</si>
  <si>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</si>
  <si>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</si>
  <si>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</si>
  <si>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</si>
  <si>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</si>
  <si>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</si>
  <si>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</si>
  <si>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</si>
  <si>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</si>
  <si>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</si>
  <si>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</si>
  <si>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</si>
  <si>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</si>
  <si>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</si>
  <si>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</si>
  <si>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</si>
  <si>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</si>
  <si>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</si>
  <si>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</si>
  <si>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</si>
  <si>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</si>
  <si>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</si>
  <si>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</si>
  <si>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</si>
  <si>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</si>
  <si>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</si>
  <si>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</si>
  <si>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</si>
  <si>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</si>
  <si>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</si>
  <si>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</si>
  <si>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</si>
  <si>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</si>
  <si>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</si>
  <si>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</si>
  <si>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</si>
  <si>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</si>
  <si>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</si>
  <si>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</si>
  <si>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</si>
  <si>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</si>
  <si>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</si>
  <si>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</si>
  <si>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</si>
  <si>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</si>
  <si>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</si>
  <si>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</si>
  <si>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</si>
  <si>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</si>
  <si>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</si>
  <si>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</si>
  <si>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</si>
  <si>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</si>
  <si>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</si>
  <si>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</si>
  <si>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</si>
  <si>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</si>
  <si>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</si>
  <si>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</si>
  <si>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</si>
  <si>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</si>
  <si>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</si>
  <si>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</si>
  <si>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</si>
  <si>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</si>
  <si>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</si>
  <si>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</si>
  <si>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</si>
  <si>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</si>
  <si>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</si>
  <si>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</si>
  <si>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</si>
  <si>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</si>
  <si>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</si>
  <si>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</si>
  <si>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</si>
  <si>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</si>
  <si>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</si>
  <si>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</si>
  <si>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</si>
  <si>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</si>
  <si>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</si>
  <si>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</si>
  <si>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</si>
  <si>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</si>
  <si>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</si>
  <si>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</si>
  <si>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</si>
  <si>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</si>
  <si>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</si>
  <si>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</si>
  <si>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</si>
  <si>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</si>
  <si>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</si>
  <si>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</si>
  <si>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</si>
  <si>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</si>
  <si>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</si>
  <si>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</si>
  <si>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</si>
  <si>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</si>
  <si>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</si>
  <si>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</si>
  <si>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</si>
  <si>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</si>
  <si>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</si>
  <si>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</si>
  <si>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</si>
  <si>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</si>
  <si>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</si>
  <si>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</si>
  <si>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</si>
  <si>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</si>
  <si>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</si>
  <si>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</si>
  <si>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</si>
  <si>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</si>
  <si>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</si>
  <si>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</si>
  <si>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</si>
  <si>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</si>
  <si>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</si>
  <si>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</si>
  <si>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</si>
  <si>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</si>
  <si>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</si>
  <si>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</si>
  <si>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</si>
  <si>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</si>
  <si>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</si>
  <si>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</si>
  <si>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</si>
  <si>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</si>
  <si>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</si>
  <si>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</si>
  <si>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</si>
  <si>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</si>
  <si>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</si>
  <si>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</si>
  <si>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</si>
  <si>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</si>
  <si>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</si>
  <si>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</si>
  <si>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</si>
  <si>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</si>
  <si>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</si>
  <si>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</si>
  <si>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</si>
  <si>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</si>
  <si>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</si>
  <si>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</si>
  <si>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</si>
  <si>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</si>
  <si>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</si>
  <si>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</si>
  <si>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</si>
  <si>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</si>
  <si>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</si>
  <si>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</si>
  <si>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</si>
  <si>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</si>
  <si>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</si>
  <si>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</si>
  <si>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</si>
  <si>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</si>
  <si>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</si>
  <si>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</si>
  <si>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</si>
  <si>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</si>
  <si>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</si>
  <si>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</si>
  <si>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</si>
  <si>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</si>
  <si>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</si>
  <si>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</si>
  <si>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</si>
  <si>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</si>
  <si>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</si>
  <si>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</si>
  <si>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</si>
  <si>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</si>
  <si>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</si>
  <si>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</si>
  <si>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</si>
  <si>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</si>
  <si>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</si>
  <si>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</si>
  <si>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</si>
  <si>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</si>
  <si>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</si>
  <si>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</si>
  <si>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</si>
  <si>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</si>
  <si>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</si>
  <si>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</si>
  <si>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</si>
  <si>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</si>
  <si>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</si>
  <si>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</si>
  <si>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</si>
  <si>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</si>
  <si>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</si>
  <si>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</si>
  <si>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</si>
  <si>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</si>
  <si>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</si>
  <si>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</si>
  <si>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</si>
  <si>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</si>
  <si>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</si>
  <si>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</si>
  <si>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</si>
  <si>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</si>
  <si>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</si>
  <si>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</si>
  <si>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</si>
  <si>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</si>
  <si>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</si>
  <si>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</si>
  <si>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</si>
  <si>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</si>
  <si>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</si>
  <si>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</si>
  <si>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</si>
  <si>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</si>
  <si>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</si>
  <si>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</si>
  <si>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</si>
  <si>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</si>
  <si>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</si>
  <si>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</si>
  <si>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</si>
  <si>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</si>
  <si>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</si>
  <si>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</si>
  <si>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</si>
  <si>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</si>
  <si>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</si>
  <si>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</si>
  <si>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</si>
  <si>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</si>
  <si>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</si>
  <si>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</si>
  <si>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</si>
  <si>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</si>
  <si>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</si>
  <si>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</si>
  <si>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</si>
  <si>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</si>
  <si>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</si>
  <si>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</si>
  <si>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</si>
  <si>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</si>
  <si>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</si>
  <si>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</si>
  <si>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</si>
  <si>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</si>
  <si>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</si>
  <si>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</si>
  <si>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</si>
  <si>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</si>
  <si>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</si>
  <si>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</si>
  <si>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</si>
  <si>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</si>
  <si>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</si>
  <si>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</si>
  <si>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</si>
  <si>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</si>
  <si>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</si>
  <si>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</si>
  <si>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</si>
  <si>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</si>
  <si>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</si>
  <si>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</si>
  <si>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</si>
  <si>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</si>
  <si>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</si>
  <si>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</si>
  <si>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</si>
  <si>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</si>
  <si>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</si>
  <si>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</si>
  <si>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</si>
  <si>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</si>
  <si>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</si>
  <si>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</si>
  <si>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</si>
  <si>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</si>
  <si>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</si>
  <si>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</si>
  <si>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</si>
  <si>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</si>
  <si>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</si>
  <si>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</si>
  <si>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</si>
  <si>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</si>
  <si>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</si>
  <si>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</si>
  <si>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</si>
  <si>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</si>
  <si>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</si>
  <si>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</si>
  <si>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</si>
  <si>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</si>
  <si>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</si>
  <si>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</si>
  <si>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</si>
  <si>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</si>
  <si>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</si>
  <si>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</si>
  <si>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</si>
  <si>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</si>
  <si>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</si>
  <si>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</si>
  <si>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</si>
  <si>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</si>
  <si>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</si>
  <si>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</si>
  <si>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</si>
  <si>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</si>
  <si>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</si>
  <si>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</si>
  <si>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</si>
  <si>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</si>
  <si>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</si>
  <si>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</si>
  <si>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</si>
  <si>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</si>
  <si>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</si>
  <si>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</si>
  <si>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</si>
  <si>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</si>
  <si>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</si>
  <si>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</si>
  <si>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</si>
  <si>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</si>
  <si>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</si>
  <si>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</si>
  <si>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</si>
  <si>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</si>
  <si>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</si>
  <si>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</si>
  <si>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</si>
  <si>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</si>
  <si>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</si>
  <si>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</si>
  <si>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</si>
  <si>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</si>
  <si>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</si>
  <si>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</si>
  <si>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</si>
  <si>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</si>
  <si>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</si>
  <si>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</si>
  <si>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</si>
  <si>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</si>
  <si>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</si>
  <si>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</si>
  <si>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</si>
  <si>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</si>
  <si>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</si>
  <si>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</si>
  <si>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</si>
  <si>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</si>
  <si>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</si>
  <si>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</si>
  <si>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</si>
  <si>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</si>
  <si>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</si>
  <si>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</si>
  <si>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</si>
  <si>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</si>
  <si>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</si>
  <si>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</si>
  <si>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</si>
  <si>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</si>
  <si>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</si>
  <si>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</si>
  <si>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</si>
  <si>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</si>
  <si>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</si>
  <si>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</si>
  <si>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</si>
  <si>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</si>
  <si>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</si>
  <si>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</si>
  <si>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</si>
  <si>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</si>
  <si>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</si>
  <si>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</si>
  <si>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</si>
  <si>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</si>
  <si>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</si>
  <si>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</si>
  <si>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</si>
  <si>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</si>
  <si>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</si>
  <si>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</si>
  <si>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</si>
  <si>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</si>
  <si>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</si>
  <si>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</si>
  <si>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</si>
  <si>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</si>
  <si>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</si>
  <si>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</si>
  <si>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</si>
  <si>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</si>
  <si>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</si>
  <si>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</si>
  <si>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</si>
  <si>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</si>
  <si>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</si>
  <si>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</si>
  <si>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</si>
  <si>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</si>
  <si>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</si>
  <si>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</si>
  <si>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</si>
  <si>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</si>
  <si>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</si>
  <si>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</si>
  <si>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</si>
  <si>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</si>
  <si>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</si>
  <si>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</si>
  <si>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</si>
  <si>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</si>
  <si>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</si>
  <si>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</si>
  <si>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</si>
  <si>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</si>
  <si>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</si>
  <si>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</si>
  <si>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</si>
  <si>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</si>
  <si>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</si>
  <si>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</si>
  <si>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</si>
  <si>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</si>
  <si>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</si>
  <si>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</si>
  <si>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</si>
  <si>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</si>
  <si>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</si>
  <si>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</si>
  <si>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</si>
  <si>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</si>
  <si>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</si>
  <si>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</si>
  <si>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</si>
  <si>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</si>
  <si>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</si>
  <si>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</si>
  <si>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</si>
  <si>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</si>
  <si>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</si>
  <si>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</si>
  <si>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</si>
  <si>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</si>
  <si>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</si>
  <si>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</si>
  <si>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</si>
  <si>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</si>
  <si>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</si>
  <si>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</si>
  <si>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</si>
  <si>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</si>
  <si>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</si>
  <si>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</si>
  <si>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</si>
  <si>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</si>
  <si>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</si>
  <si>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</si>
  <si>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</si>
  <si>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</si>
  <si>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</si>
  <si>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</si>
  <si>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</si>
  <si>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</si>
  <si>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</si>
  <si>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</si>
  <si>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</si>
  <si>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</si>
  <si>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</si>
  <si>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</si>
  <si>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</si>
  <si>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</si>
  <si>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</si>
  <si>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</si>
  <si>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</si>
  <si>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</si>
  <si>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</si>
  <si>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</si>
  <si>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</si>
  <si>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</si>
  <si>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</si>
  <si>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</si>
  <si>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</si>
  <si>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</si>
  <si>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</si>
  <si>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</si>
  <si>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</si>
  <si>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</si>
  <si>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</si>
  <si>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</si>
  <si>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</si>
  <si>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</si>
  <si>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</si>
  <si>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</si>
  <si>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</si>
  <si>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</si>
  <si>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</si>
  <si>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</si>
  <si>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</si>
  <si>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</si>
  <si>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</si>
  <si>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</si>
  <si>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</si>
  <si>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</si>
  <si>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</si>
  <si>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</si>
  <si>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</si>
  <si>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</si>
  <si>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</si>
  <si>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</si>
  <si>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</si>
  <si>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</si>
  <si>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</si>
  <si>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</si>
  <si>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</si>
  <si>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</si>
  <si>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</si>
  <si>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</si>
  <si>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</si>
  <si>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</si>
  <si>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</si>
  <si>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</si>
  <si>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</si>
  <si>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</si>
  <si>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</si>
  <si>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</si>
  <si>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</si>
  <si>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</si>
  <si>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</si>
  <si>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</si>
  <si>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</si>
  <si>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</si>
  <si>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</si>
  <si>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</si>
  <si>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</si>
  <si>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</si>
  <si>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</si>
  <si>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</si>
  <si>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</si>
  <si>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</si>
  <si>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</si>
  <si>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</si>
  <si>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</si>
  <si>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</si>
  <si>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</si>
  <si>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</si>
  <si>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</si>
  <si>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</si>
  <si>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</si>
  <si>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</si>
  <si>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</si>
  <si>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</si>
  <si>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</si>
  <si>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</si>
  <si>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</si>
  <si>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</si>
  <si>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</si>
  <si>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</si>
  <si>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</si>
  <si>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</si>
  <si>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</si>
  <si>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</si>
  <si>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</si>
  <si>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</si>
  <si>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</si>
  <si>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</si>
  <si>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</si>
  <si>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</si>
  <si>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</si>
  <si>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</si>
  <si>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</si>
  <si>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</si>
  <si>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</si>
  <si>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</si>
  <si>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</si>
  <si>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</si>
  <si>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</si>
  <si>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</si>
  <si>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</si>
  <si>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</si>
  <si>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</si>
  <si>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</si>
  <si>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</si>
  <si>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</si>
  <si>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</si>
  <si>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</si>
  <si>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</si>
  <si>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</si>
  <si>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</si>
  <si>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</si>
  <si>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</si>
  <si>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</si>
  <si>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</si>
  <si>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</si>
  <si>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</si>
  <si>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</si>
  <si>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</si>
  <si>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</si>
  <si>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</si>
  <si>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</si>
  <si>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</si>
  <si>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</si>
  <si>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</si>
  <si>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</si>
  <si>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</si>
  <si>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</si>
  <si>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</si>
  <si>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</si>
  <si>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</si>
  <si>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</si>
  <si>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</si>
  <si>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</si>
  <si>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</si>
  <si>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</si>
  <si>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</si>
  <si>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</si>
  <si>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</si>
  <si>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</si>
  <si>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</si>
  <si>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</si>
  <si>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</si>
  <si>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</si>
  <si>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</si>
  <si>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</si>
  <si>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</si>
  <si>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</si>
  <si>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</si>
  <si>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</si>
  <si>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</si>
  <si>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</si>
  <si>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</si>
  <si>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</si>
  <si>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</si>
  <si>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</si>
  <si>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</si>
  <si>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</si>
  <si>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</si>
  <si>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</si>
  <si>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</si>
  <si>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</si>
  <si>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</si>
  <si>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</si>
  <si>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</si>
  <si>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</si>
  <si>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</si>
  <si>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</si>
  <si>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</si>
  <si>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</si>
  <si>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</si>
  <si>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</si>
  <si>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</si>
  <si>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</si>
  <si>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</si>
  <si>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</si>
  <si>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</si>
  <si>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</si>
  <si>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</si>
  <si>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</si>
  <si>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</si>
  <si>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</si>
  <si>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</si>
  <si>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</si>
  <si>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</si>
  <si>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</si>
  <si>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</si>
  <si>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</si>
  <si>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</si>
  <si>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</si>
  <si>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</si>
  <si>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</si>
  <si>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</si>
  <si>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</si>
  <si>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</si>
  <si>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</si>
  <si>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</si>
  <si>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</si>
  <si>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</si>
  <si>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</si>
  <si>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</si>
  <si>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</si>
  <si>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</si>
  <si>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</si>
  <si>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</si>
  <si>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</si>
  <si>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</si>
  <si>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</si>
  <si>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</si>
  <si>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</si>
  <si>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</si>
  <si>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</si>
  <si>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</si>
  <si>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</si>
  <si>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</si>
  <si>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</si>
  <si>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</si>
  <si>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</si>
  <si>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</si>
  <si>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</si>
  <si>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</si>
  <si>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</si>
  <si>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</si>
  <si>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</si>
  <si>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</si>
  <si>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</si>
  <si>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</si>
  <si>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</si>
  <si>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</si>
  <si>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</si>
  <si>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</si>
  <si>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</si>
  <si>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</si>
  <si>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</si>
  <si>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</si>
  <si>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</si>
  <si>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</si>
  <si>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</si>
  <si>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</si>
  <si>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</si>
  <si>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</si>
  <si>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</si>
  <si>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</si>
  <si>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</si>
  <si>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</si>
  <si>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</si>
  <si>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</si>
  <si>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</si>
  <si>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</si>
  <si>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</si>
  <si>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</si>
  <si>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</si>
  <si>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</si>
  <si>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</si>
  <si>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</si>
  <si>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</si>
  <si>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</si>
  <si>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</si>
  <si>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</si>
  <si>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</si>
  <si>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</si>
  <si>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</si>
  <si>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</si>
  <si>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</si>
  <si>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</si>
  <si>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</si>
  <si>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</si>
  <si>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</si>
  <si>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</si>
  <si>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</si>
  <si>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</si>
  <si>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</si>
  <si>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</si>
  <si>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</si>
  <si>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</si>
  <si>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</si>
  <si>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</si>
  <si>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</si>
  <si>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</si>
  <si>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</si>
  <si>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</si>
  <si>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</si>
  <si>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</si>
  <si>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</si>
  <si>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</si>
  <si>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</si>
  <si>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</si>
  <si>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</si>
  <si>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</si>
  <si>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</si>
  <si>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</si>
  <si>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</si>
  <si>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</si>
  <si>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</si>
  <si>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</si>
  <si>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</si>
  <si>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</si>
  <si>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</si>
  <si>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</si>
  <si>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</si>
  <si>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</si>
  <si>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</si>
  <si>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</si>
  <si>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</si>
  <si>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</si>
  <si>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</si>
  <si>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</si>
  <si>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</si>
  <si>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</si>
  <si>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</si>
  <si>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</si>
  <si>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</si>
  <si>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</si>
  <si>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</si>
  <si>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</si>
  <si>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 xml:space="preserve">Գյումրի համայնքի ավագանու 2024 թ.-ի </t>
  </si>
  <si>
    <t xml:space="preserve">                                  </t>
  </si>
  <si>
    <t xml:space="preserve">                           փետրվարի 13 -ի N ___ որոշման</t>
  </si>
  <si>
    <t>Հավելված 6</t>
  </si>
  <si>
    <t>Հավելված 5</t>
  </si>
  <si>
    <t xml:space="preserve">Հավելված                                </t>
  </si>
  <si>
    <t xml:space="preserve">հունվարի 23-ի N 3-Ն որոշման </t>
  </si>
  <si>
    <t>հունվարի 23-ի N 3-Ն որոշման</t>
  </si>
  <si>
    <t xml:space="preserve">Հավելված </t>
  </si>
  <si>
    <t xml:space="preserve">                                  հունվարի 23-ի N 3-Ն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</si>
</sst>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</numFmts>
  <fonts count="34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292">
    <xf numFmtId="0" fontId="0" fillId="0" borderId="0" xfId="0"/>
    <xf numFmtId="0" fontId="29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9" fillId="0" borderId="13" xfId="0" applyFont="1" applyBorder="1"/>
    <xf numFmtId="0" fontId="3" fillId="0" borderId="21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4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0" fontId="25" fillId="0" borderId="29" xfId="2" applyFill="1">
      <alignment horizontal="center" vertical="center"/>
    </xf>
    <xf numFmtId="164" fontId="1" fillId="0" borderId="0" xfId="11" applyNumberFormat="1" applyFont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0" xfId="11" applyFont="1" applyAlignment="1">
      <alignment wrapText="1"/>
    </xf>
    <xf numFmtId="0" fontId="1" fillId="0" borderId="0" xfId="11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1" applyFont="1" applyAlignment="1">
      <alignment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14" fillId="0" borderId="0" xfId="0" applyNumberFormat="1" applyFont="1" applyAlignment="1" applyProtection="1">
      <alignment horizontal="center" vertical="top"/>
      <protection hidden="1"/>
    </xf>
    <xf numFmtId="167" fontId="5" fillId="0" borderId="8" xfId="0" applyNumberFormat="1" applyFont="1" applyBorder="1" applyAlignment="1" applyProtection="1">
      <alignment vertical="center"/>
      <protection hidden="1"/>
    </xf>
    <xf numFmtId="167" fontId="5" fillId="0" borderId="2" xfId="0" applyNumberFormat="1" applyFont="1" applyBorder="1" applyAlignment="1" applyProtection="1">
      <alignment vertical="center"/>
      <protection hidden="1"/>
    </xf>
    <xf numFmtId="164" fontId="1" fillId="0" borderId="0" xfId="11" applyNumberFormat="1" applyFont="1" applyAlignment="1">
      <alignment vertical="center" wrapText="1"/>
    </xf>
    <xf numFmtId="164" fontId="30" fillId="0" borderId="0" xfId="0" applyNumberFormat="1" applyFont="1"/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1" fillId="0" borderId="0" xfId="0" applyFont="1" applyAlignment="1">
      <alignment horizontal="center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1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11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left" vertical="center" wrapText="1" readingOrder="1"/>
      <protection hidden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view="pageBreakPreview" topLeftCell="A106" zoomScaleSheetLayoutView="100" workbookViewId="0">
      <selection activeCell="G12" sqref="G12:J12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6384" width="9.140625" style="90"/>
  </cols>
  <sheetData>
    <row r="1" spans="1:19" x14ac:dyDescent="0.25">
      <c r="H1" s="240"/>
      <c r="I1" s="240"/>
      <c r="J1" s="240"/>
    </row>
    <row r="2" spans="1:19" ht="13.5" customHeight="1" x14ac:dyDescent="0.25">
      <c r="G2" s="18"/>
      <c r="H2" s="227"/>
      <c r="I2" s="227"/>
      <c r="J2" s="227"/>
    </row>
    <row r="3" spans="1:19" ht="13.5" customHeight="1" x14ac:dyDescent="0.25">
      <c r="G3" s="18"/>
      <c r="H3" s="227"/>
      <c r="I3" s="227"/>
      <c r="J3" s="227"/>
    </row>
    <row r="4" spans="1:19" ht="13.5" customHeight="1" x14ac:dyDescent="0.25">
      <c r="G4" s="18"/>
      <c r="H4" s="227"/>
      <c r="I4" s="227"/>
      <c r="J4" s="227"/>
    </row>
    <row r="5" spans="1:19" x14ac:dyDescent="0.25">
      <c r="C5" s="157"/>
      <c r="G5" s="200"/>
      <c r="H5" s="240" t="s">
        <v>867</v>
      </c>
      <c r="I5" s="240"/>
      <c r="J5" s="240"/>
    </row>
    <row r="6" spans="1:19" ht="13.5" customHeight="1" x14ac:dyDescent="0.25">
      <c r="G6" s="18"/>
      <c r="H6" s="227" t="s">
        <v>602</v>
      </c>
      <c r="I6" s="227"/>
      <c r="J6" s="227"/>
    </row>
    <row r="7" spans="1:19" ht="13.5" customHeight="1" x14ac:dyDescent="0.25">
      <c r="G7" s="18"/>
      <c r="H7" s="227" t="s">
        <v>862</v>
      </c>
      <c r="I7" s="227"/>
      <c r="J7" s="227"/>
    </row>
    <row r="8" spans="1:19" ht="13.5" customHeight="1" x14ac:dyDescent="0.25">
      <c r="G8" s="18"/>
      <c r="H8" s="227" t="s">
        <v>868</v>
      </c>
      <c r="I8" s="227"/>
      <c r="J8" s="227"/>
    </row>
    <row r="9" spans="1:19" ht="20.25" x14ac:dyDescent="0.25">
      <c r="A9" s="231" t="s">
        <v>696</v>
      </c>
      <c r="B9" s="231"/>
      <c r="C9" s="231"/>
      <c r="D9" s="231"/>
      <c r="E9" s="231"/>
      <c r="F9" s="231"/>
      <c r="G9" s="217"/>
      <c r="H9" s="217"/>
      <c r="I9" s="217"/>
    </row>
    <row r="10" spans="1:19" ht="20.25" x14ac:dyDescent="0.25">
      <c r="A10" s="231" t="s">
        <v>697</v>
      </c>
      <c r="B10" s="231"/>
      <c r="C10" s="231"/>
      <c r="D10" s="231"/>
      <c r="E10" s="231"/>
      <c r="F10" s="231"/>
      <c r="G10" s="217"/>
      <c r="H10" s="217"/>
      <c r="I10" s="217"/>
    </row>
    <row r="11" spans="1:19" ht="14.25" thickBot="1" x14ac:dyDescent="0.3">
      <c r="A11" s="90"/>
      <c r="C11" s="90"/>
      <c r="E11" s="90"/>
      <c r="F11" s="90"/>
      <c r="H11" s="90"/>
      <c r="I11" s="141" t="s">
        <v>754</v>
      </c>
      <c r="J11" s="141"/>
    </row>
    <row r="12" spans="1:19" ht="43.5" thickBot="1" x14ac:dyDescent="0.3">
      <c r="A12" s="219"/>
      <c r="B12" s="219"/>
      <c r="C12" s="228" t="s">
        <v>700</v>
      </c>
      <c r="D12" s="91" t="s">
        <v>698</v>
      </c>
      <c r="E12" s="91"/>
      <c r="F12" s="91"/>
      <c r="G12" s="232" t="s">
        <v>755</v>
      </c>
      <c r="H12" s="233"/>
      <c r="I12" s="233"/>
      <c r="J12" s="234"/>
    </row>
    <row r="13" spans="1:19" x14ac:dyDescent="0.25">
      <c r="A13" s="220" t="s">
        <v>143</v>
      </c>
      <c r="B13" s="220" t="s">
        <v>699</v>
      </c>
      <c r="C13" s="229"/>
      <c r="D13" s="235" t="s">
        <v>370</v>
      </c>
      <c r="E13" s="92" t="s">
        <v>154</v>
      </c>
      <c r="G13" s="237" t="s">
        <v>369</v>
      </c>
      <c r="H13" s="238"/>
      <c r="I13" s="238"/>
      <c r="J13" s="239"/>
    </row>
    <row r="14" spans="1:19" ht="27.75" thickBot="1" x14ac:dyDescent="0.3">
      <c r="A14" s="221"/>
      <c r="B14" s="221"/>
      <c r="C14" s="230"/>
      <c r="D14" s="236"/>
      <c r="E14" s="77" t="s">
        <v>371</v>
      </c>
      <c r="F14" s="78" t="s">
        <v>372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  <c r="M15" s="157"/>
      <c r="N15" s="157"/>
      <c r="O15" s="157"/>
      <c r="P15" s="157"/>
      <c r="Q15" s="157"/>
      <c r="R15" s="157"/>
      <c r="S15" s="157"/>
    </row>
    <row r="16" spans="1:19" ht="34.5" x14ac:dyDescent="0.25">
      <c r="A16" s="156">
        <v>1000</v>
      </c>
      <c r="B16" s="93" t="s">
        <v>743</v>
      </c>
      <c r="C16" s="79"/>
      <c r="D16" s="88">
        <f t="shared" ref="D16:J16" si="0">SUM(D17,D57,D76)</f>
        <v>6743880.7469999995</v>
      </c>
      <c r="E16" s="88">
        <f t="shared" si="0"/>
        <v>5865125.1600000001</v>
      </c>
      <c r="F16" s="88">
        <f t="shared" si="0"/>
        <v>1641007.7609999999</v>
      </c>
      <c r="G16" s="81">
        <f t="shared" si="0"/>
        <v>2022685.6146408692</v>
      </c>
      <c r="H16" s="81">
        <f t="shared" si="0"/>
        <v>3396196.2520886958</v>
      </c>
      <c r="I16" s="81">
        <f t="shared" si="0"/>
        <v>5206388.2441452146</v>
      </c>
      <c r="J16" s="81">
        <f t="shared" si="0"/>
        <v>6743880.7469999995</v>
      </c>
    </row>
    <row r="17" spans="1:10" s="207" customFormat="1" ht="42.75" x14ac:dyDescent="0.25">
      <c r="A17" s="156">
        <v>1100</v>
      </c>
      <c r="B17" s="86" t="s">
        <v>838</v>
      </c>
      <c r="C17" s="144">
        <v>7100</v>
      </c>
      <c r="D17" s="88">
        <f>SUM(D18,D22,D24,D47,D51)</f>
        <v>1551681.267</v>
      </c>
      <c r="E17" s="88">
        <f>SUM(E18,E22,E24,E47,E51)</f>
        <v>1551681.267</v>
      </c>
      <c r="F17" s="88" t="s">
        <v>0</v>
      </c>
      <c r="G17" s="88">
        <f t="shared" ref="G17:J17" si="1">SUM(G18,G22,G24,G47,G51)</f>
        <v>459450.71056972316</v>
      </c>
      <c r="H17" s="88">
        <f t="shared" si="1"/>
        <v>774217.09268948645</v>
      </c>
      <c r="I17" s="88">
        <f t="shared" si="1"/>
        <v>1095264.9624456128</v>
      </c>
      <c r="J17" s="88">
        <f t="shared" si="1"/>
        <v>1551681.267</v>
      </c>
    </row>
    <row r="18" spans="1:10" s="207" customFormat="1" ht="28.5" x14ac:dyDescent="0.25">
      <c r="A18" s="156">
        <v>1110</v>
      </c>
      <c r="B18" s="86" t="s">
        <v>837</v>
      </c>
      <c r="C18" s="144">
        <v>7131</v>
      </c>
      <c r="D18" s="88">
        <f>SUM(D19,D20,D21)</f>
        <v>342082.63899999997</v>
      </c>
      <c r="E18" s="88">
        <f>SUM(E19,E20,E21)</f>
        <v>342082.63899999997</v>
      </c>
      <c r="F18" s="88" t="s">
        <v>0</v>
      </c>
      <c r="G18" s="88">
        <f t="shared" ref="G18:J18" si="2">SUM(G19,G20,G21)</f>
        <v>93830.528134387336</v>
      </c>
      <c r="H18" s="88">
        <f t="shared" si="2"/>
        <v>166308.95097628457</v>
      </c>
      <c r="I18" s="88">
        <f t="shared" si="2"/>
        <v>254195.79498814227</v>
      </c>
      <c r="J18" s="88">
        <f t="shared" si="2"/>
        <v>342082.63899999997</v>
      </c>
    </row>
    <row r="19" spans="1:10" ht="40.5" x14ac:dyDescent="0.25">
      <c r="A19" s="156">
        <v>1111</v>
      </c>
      <c r="B19" s="83" t="s">
        <v>839</v>
      </c>
      <c r="C19" s="79"/>
      <c r="D19" s="146">
        <f>E19</f>
        <v>1946.634</v>
      </c>
      <c r="E19" s="146">
        <v>1946.634</v>
      </c>
      <c r="F19" s="146" t="s">
        <v>0</v>
      </c>
      <c r="G19" s="146">
        <f>+D19/253*62</f>
        <v>477.04074308300397</v>
      </c>
      <c r="H19" s="146">
        <f>+D19/253*123</f>
        <v>946.38728063241103</v>
      </c>
      <c r="I19" s="146">
        <f>+D19/253*188</f>
        <v>1446.5106403162056</v>
      </c>
      <c r="J19" s="146">
        <f>+D19</f>
        <v>1946.634</v>
      </c>
    </row>
    <row r="20" spans="1:10" ht="27" x14ac:dyDescent="0.25">
      <c r="A20" s="156">
        <v>1112</v>
      </c>
      <c r="B20" s="83" t="s">
        <v>701</v>
      </c>
      <c r="C20" s="79"/>
      <c r="D20" s="146">
        <f t="shared" ref="D20:D21" si="3">E20</f>
        <v>1562.856</v>
      </c>
      <c r="E20" s="146">
        <v>1562.856</v>
      </c>
      <c r="F20" s="146" t="s">
        <v>0</v>
      </c>
      <c r="G20" s="146">
        <f t="shared" ref="G20" si="4">+D20/253*62</f>
        <v>382.99237944664031</v>
      </c>
      <c r="H20" s="146">
        <f t="shared" ref="H20" si="5">+D20/253*123</f>
        <v>759.80746245059288</v>
      </c>
      <c r="I20" s="146">
        <f t="shared" ref="I20" si="6">+D20/253*188</f>
        <v>1161.3317312252964</v>
      </c>
      <c r="J20" s="146">
        <f t="shared" ref="J20" si="7">+D20</f>
        <v>1562.856</v>
      </c>
    </row>
    <row r="21" spans="1:10" x14ac:dyDescent="0.25">
      <c r="A21" s="156">
        <v>1113</v>
      </c>
      <c r="B21" s="83" t="s">
        <v>829</v>
      </c>
      <c r="C21" s="79"/>
      <c r="D21" s="146">
        <f t="shared" si="3"/>
        <v>338573.14899999998</v>
      </c>
      <c r="E21" s="146">
        <f>335214.413+3358.736</f>
        <v>338573.14899999998</v>
      </c>
      <c r="F21" s="146" t="s">
        <v>0</v>
      </c>
      <c r="G21" s="146">
        <v>92970.495011857696</v>
      </c>
      <c r="H21" s="146">
        <f>+D21/253*123</f>
        <v>164602.75623320157</v>
      </c>
      <c r="I21" s="146">
        <f>+D21/253*188</f>
        <v>251587.95261660076</v>
      </c>
      <c r="J21" s="146">
        <f>+D21</f>
        <v>338573.14899999998</v>
      </c>
    </row>
    <row r="22" spans="1:10" s="207" customFormat="1" ht="14.25" x14ac:dyDescent="0.25">
      <c r="A22" s="156">
        <v>1120</v>
      </c>
      <c r="B22" s="86" t="s">
        <v>702</v>
      </c>
      <c r="C22" s="144">
        <v>7136</v>
      </c>
      <c r="D22" s="88">
        <f>SUM(D23)</f>
        <v>1016102.5650000001</v>
      </c>
      <c r="E22" s="88">
        <f>SUM(E23)</f>
        <v>1016102.5650000001</v>
      </c>
      <c r="F22" s="88" t="s">
        <v>0</v>
      </c>
      <c r="G22" s="82">
        <f>SUM(G23)</f>
        <v>318202.174901739</v>
      </c>
      <c r="H22" s="82">
        <f>SUM(H23)</f>
        <v>513836.93321913073</v>
      </c>
      <c r="I22" s="82">
        <f>SUM(I23)</f>
        <v>697285.53171043482</v>
      </c>
      <c r="J22" s="82">
        <f>SUM(J23)</f>
        <v>1016102.5650000001</v>
      </c>
    </row>
    <row r="23" spans="1:10" ht="27" x14ac:dyDescent="0.25">
      <c r="A23" s="156">
        <v>1121</v>
      </c>
      <c r="B23" s="83" t="s">
        <v>744</v>
      </c>
      <c r="C23" s="79"/>
      <c r="D23" s="146">
        <f>E23</f>
        <v>1016102.5650000001</v>
      </c>
      <c r="E23" s="146">
        <f>988451.635+27650.93</f>
        <v>1016102.5650000001</v>
      </c>
      <c r="F23" s="146" t="s">
        <v>0</v>
      </c>
      <c r="G23" s="146">
        <v>318202.174901739</v>
      </c>
      <c r="H23" s="146">
        <v>513836.93321913073</v>
      </c>
      <c r="I23" s="146">
        <v>697285.53171043482</v>
      </c>
      <c r="J23" s="146">
        <f>+D23</f>
        <v>1016102.5650000001</v>
      </c>
    </row>
    <row r="24" spans="1:10" s="207" customFormat="1" ht="42.75" x14ac:dyDescent="0.25">
      <c r="A24" s="156">
        <v>1130</v>
      </c>
      <c r="B24" s="86" t="s">
        <v>703</v>
      </c>
      <c r="C24" s="144">
        <v>7145</v>
      </c>
      <c r="D24" s="88">
        <f>SUM(D25)</f>
        <v>138496.06299999999</v>
      </c>
      <c r="E24" s="88">
        <f>SUM(E25)</f>
        <v>138496.06299999999</v>
      </c>
      <c r="F24" s="88" t="s">
        <v>0</v>
      </c>
      <c r="G24" s="82">
        <f>SUM(G25)</f>
        <v>33939.746664031605</v>
      </c>
      <c r="H24" s="82">
        <f>SUM(H25)</f>
        <v>67332.078059288528</v>
      </c>
      <c r="I24" s="82">
        <f>SUM(I25)</f>
        <v>102914.07052964426</v>
      </c>
      <c r="J24" s="82">
        <f>SUM(J25)</f>
        <v>138496.06299999999</v>
      </c>
    </row>
    <row r="25" spans="1:10" ht="67.5" x14ac:dyDescent="0.25">
      <c r="A25" s="156">
        <v>11301</v>
      </c>
      <c r="B25" s="83" t="s">
        <v>840</v>
      </c>
      <c r="C25" s="79">
        <v>7145</v>
      </c>
      <c r="D25" s="146">
        <f>D26+D29+D30+D31+D32+D33+D34+D35+D36+D37+D38+D39+D40+D41+D42+D43+D44+D45+D46</f>
        <v>138496.06299999999</v>
      </c>
      <c r="E25" s="146">
        <f>E26+E29+E30+E31+E32+E33+E34+E35+E36+E37+E38+E39+E40+E41+E42+E43+E44+E45+E46</f>
        <v>138496.06299999999</v>
      </c>
      <c r="F25" s="146" t="s">
        <v>0</v>
      </c>
      <c r="G25" s="146">
        <f t="shared" ref="G25:J25" si="8">G26+G29+G30+G31+G32+G33+G34+G35+G36+G37+G38+G39+G40+G41+G42+G43+G44+G45+G46</f>
        <v>33939.746664031605</v>
      </c>
      <c r="H25" s="146">
        <f t="shared" si="8"/>
        <v>67332.078059288528</v>
      </c>
      <c r="I25" s="146">
        <f t="shared" si="8"/>
        <v>102914.07052964426</v>
      </c>
      <c r="J25" s="146">
        <f t="shared" si="8"/>
        <v>138496.06299999999</v>
      </c>
    </row>
    <row r="26" spans="1:10" ht="54" x14ac:dyDescent="0.25">
      <c r="A26" s="156">
        <v>11302</v>
      </c>
      <c r="B26" s="83" t="s">
        <v>841</v>
      </c>
      <c r="C26" s="79"/>
      <c r="D26" s="146">
        <f>SUM(D27:D28)</f>
        <v>17020</v>
      </c>
      <c r="E26" s="146">
        <f>SUM(E27:E28)</f>
        <v>17020</v>
      </c>
      <c r="F26" s="146" t="s">
        <v>0</v>
      </c>
      <c r="G26" s="146">
        <f t="shared" ref="G26:G46" si="9">+D26/253*62</f>
        <v>4170.9090909090901</v>
      </c>
      <c r="H26" s="146">
        <f t="shared" ref="H26:H46" si="10">+D26/253*123</f>
        <v>8274.545454545454</v>
      </c>
      <c r="I26" s="146">
        <f t="shared" ref="I26:I46" si="11">+D26/253*188</f>
        <v>12647.272727272726</v>
      </c>
      <c r="J26" s="146">
        <f t="shared" ref="J26:J46" si="12">+D26</f>
        <v>17020</v>
      </c>
    </row>
    <row r="27" spans="1:10" ht="27" x14ac:dyDescent="0.25">
      <c r="A27" s="156">
        <v>113021</v>
      </c>
      <c r="B27" s="83" t="s">
        <v>842</v>
      </c>
      <c r="C27" s="79"/>
      <c r="D27" s="146">
        <f>E27</f>
        <v>17020</v>
      </c>
      <c r="E27" s="146">
        <v>17020</v>
      </c>
      <c r="F27" s="146" t="s">
        <v>0</v>
      </c>
      <c r="G27" s="146">
        <f t="shared" si="9"/>
        <v>4170.9090909090901</v>
      </c>
      <c r="H27" s="146">
        <f t="shared" si="10"/>
        <v>8274.545454545454</v>
      </c>
      <c r="I27" s="146">
        <f t="shared" si="11"/>
        <v>12647.272727272726</v>
      </c>
      <c r="J27" s="146">
        <f t="shared" si="12"/>
        <v>17020</v>
      </c>
    </row>
    <row r="28" spans="1:10" x14ac:dyDescent="0.25">
      <c r="A28" s="156">
        <v>113022</v>
      </c>
      <c r="B28" s="89" t="s">
        <v>704</v>
      </c>
      <c r="C28" s="79"/>
      <c r="D28" s="146">
        <f>E28</f>
        <v>0</v>
      </c>
      <c r="E28" s="146"/>
      <c r="F28" s="146" t="s">
        <v>0</v>
      </c>
      <c r="G28" s="146">
        <f t="shared" si="9"/>
        <v>0</v>
      </c>
      <c r="H28" s="146">
        <f t="shared" si="10"/>
        <v>0</v>
      </c>
      <c r="I28" s="146">
        <f t="shared" si="11"/>
        <v>0</v>
      </c>
      <c r="J28" s="146">
        <f t="shared" si="12"/>
        <v>0</v>
      </c>
    </row>
    <row r="29" spans="1:10" ht="94.5" x14ac:dyDescent="0.25">
      <c r="A29" s="156">
        <v>11303</v>
      </c>
      <c r="B29" s="83" t="s">
        <v>642</v>
      </c>
      <c r="C29" s="79"/>
      <c r="D29" s="146">
        <f>E29</f>
        <v>126</v>
      </c>
      <c r="E29" s="146">
        <v>126</v>
      </c>
      <c r="F29" s="146" t="s">
        <v>0</v>
      </c>
      <c r="G29" s="146">
        <f t="shared" si="9"/>
        <v>30.877470355731226</v>
      </c>
      <c r="H29" s="146">
        <f t="shared" si="10"/>
        <v>61.25691699604743</v>
      </c>
      <c r="I29" s="146">
        <f t="shared" si="11"/>
        <v>93.628458498023718</v>
      </c>
      <c r="J29" s="146">
        <f t="shared" si="12"/>
        <v>126</v>
      </c>
    </row>
    <row r="30" spans="1:10" ht="40.5" x14ac:dyDescent="0.25">
      <c r="A30" s="156">
        <v>11304</v>
      </c>
      <c r="B30" s="83" t="s">
        <v>643</v>
      </c>
      <c r="C30" s="79"/>
      <c r="D30" s="146">
        <f>SUM(E30:F30)</f>
        <v>52.5</v>
      </c>
      <c r="E30" s="146">
        <v>52.5</v>
      </c>
      <c r="F30" s="146" t="s">
        <v>0</v>
      </c>
      <c r="G30" s="146">
        <f t="shared" si="9"/>
        <v>12.865612648221344</v>
      </c>
      <c r="H30" s="146">
        <f t="shared" si="10"/>
        <v>25.523715415019762</v>
      </c>
      <c r="I30" s="146">
        <f t="shared" si="11"/>
        <v>39.011857707509883</v>
      </c>
      <c r="J30" s="146">
        <f t="shared" si="12"/>
        <v>52.5</v>
      </c>
    </row>
    <row r="31" spans="1:10" ht="54" x14ac:dyDescent="0.25">
      <c r="A31" s="156">
        <v>11305</v>
      </c>
      <c r="B31" s="83" t="s">
        <v>644</v>
      </c>
      <c r="C31" s="79"/>
      <c r="D31" s="146">
        <f t="shared" ref="D31:D46" si="13">E31</f>
        <v>15600</v>
      </c>
      <c r="E31" s="146">
        <v>15600</v>
      </c>
      <c r="F31" s="146" t="s">
        <v>0</v>
      </c>
      <c r="G31" s="146">
        <f t="shared" si="9"/>
        <v>3822.9249011857705</v>
      </c>
      <c r="H31" s="146">
        <f t="shared" si="10"/>
        <v>7584.189723320158</v>
      </c>
      <c r="I31" s="146">
        <f t="shared" si="11"/>
        <v>11592.094861660078</v>
      </c>
      <c r="J31" s="146">
        <f t="shared" si="12"/>
        <v>15600</v>
      </c>
    </row>
    <row r="32" spans="1:10" ht="108" x14ac:dyDescent="0.25">
      <c r="A32" s="156">
        <v>11306</v>
      </c>
      <c r="B32" s="83" t="s">
        <v>645</v>
      </c>
      <c r="C32" s="79"/>
      <c r="D32" s="146">
        <f t="shared" si="13"/>
        <v>3240</v>
      </c>
      <c r="E32" s="146">
        <v>3240</v>
      </c>
      <c r="F32" s="146" t="s">
        <v>0</v>
      </c>
      <c r="G32" s="146">
        <f t="shared" si="9"/>
        <v>793.99209486166012</v>
      </c>
      <c r="H32" s="146">
        <f t="shared" si="10"/>
        <v>1575.1778656126482</v>
      </c>
      <c r="I32" s="146">
        <f t="shared" si="11"/>
        <v>2407.588932806324</v>
      </c>
      <c r="J32" s="146">
        <f t="shared" si="12"/>
        <v>3240</v>
      </c>
    </row>
    <row r="33" spans="1:10" ht="54" x14ac:dyDescent="0.25">
      <c r="A33" s="156">
        <v>11307</v>
      </c>
      <c r="B33" s="83" t="s">
        <v>646</v>
      </c>
      <c r="C33" s="79"/>
      <c r="D33" s="146">
        <f t="shared" si="13"/>
        <v>2850</v>
      </c>
      <c r="E33" s="146">
        <v>2850</v>
      </c>
      <c r="F33" s="146" t="s">
        <v>0</v>
      </c>
      <c r="G33" s="146">
        <f t="shared" si="9"/>
        <v>698.41897233201576</v>
      </c>
      <c r="H33" s="146">
        <f t="shared" si="10"/>
        <v>1385.5731225296443</v>
      </c>
      <c r="I33" s="146">
        <f t="shared" si="11"/>
        <v>2117.786561264822</v>
      </c>
      <c r="J33" s="146">
        <f t="shared" si="12"/>
        <v>2850</v>
      </c>
    </row>
    <row r="34" spans="1:10" ht="40.5" x14ac:dyDescent="0.25">
      <c r="A34" s="156">
        <v>11308</v>
      </c>
      <c r="B34" s="83" t="s">
        <v>647</v>
      </c>
      <c r="C34" s="79"/>
      <c r="D34" s="146">
        <f t="shared" si="13"/>
        <v>33860</v>
      </c>
      <c r="E34" s="146">
        <v>33860</v>
      </c>
      <c r="F34" s="146" t="s">
        <v>0</v>
      </c>
      <c r="G34" s="146">
        <f t="shared" si="9"/>
        <v>8297.7075098814221</v>
      </c>
      <c r="H34" s="146">
        <f t="shared" si="10"/>
        <v>16461.581027667984</v>
      </c>
      <c r="I34" s="146">
        <f t="shared" si="11"/>
        <v>25160.790513833992</v>
      </c>
      <c r="J34" s="146">
        <f t="shared" si="12"/>
        <v>33860</v>
      </c>
    </row>
    <row r="35" spans="1:10" ht="27" x14ac:dyDescent="0.25">
      <c r="A35" s="156">
        <v>11309</v>
      </c>
      <c r="B35" s="83" t="s">
        <v>648</v>
      </c>
      <c r="C35" s="79"/>
      <c r="D35" s="146">
        <f t="shared" si="13"/>
        <v>4311.5630000000001</v>
      </c>
      <c r="E35" s="146">
        <v>4311.5630000000001</v>
      </c>
      <c r="F35" s="146" t="s">
        <v>0</v>
      </c>
      <c r="G35" s="146">
        <f t="shared" si="9"/>
        <v>1056.5885612648221</v>
      </c>
      <c r="H35" s="146">
        <f t="shared" si="10"/>
        <v>2096.1353715415021</v>
      </c>
      <c r="I35" s="146">
        <f t="shared" si="11"/>
        <v>3203.8491857707513</v>
      </c>
      <c r="J35" s="146">
        <f t="shared" si="12"/>
        <v>4311.5630000000001</v>
      </c>
    </row>
    <row r="36" spans="1:10" ht="67.5" x14ac:dyDescent="0.25">
      <c r="A36" s="156">
        <v>11310</v>
      </c>
      <c r="B36" s="83" t="s">
        <v>705</v>
      </c>
      <c r="C36" s="79"/>
      <c r="D36" s="146">
        <f t="shared" si="13"/>
        <v>1875</v>
      </c>
      <c r="E36" s="146">
        <v>1875</v>
      </c>
      <c r="F36" s="146" t="s">
        <v>0</v>
      </c>
      <c r="G36" s="146">
        <f t="shared" si="9"/>
        <v>459.48616600790518</v>
      </c>
      <c r="H36" s="146">
        <f t="shared" si="10"/>
        <v>911.56126482213438</v>
      </c>
      <c r="I36" s="146">
        <f t="shared" si="11"/>
        <v>1393.2806324110672</v>
      </c>
      <c r="J36" s="146">
        <f t="shared" si="12"/>
        <v>1875</v>
      </c>
    </row>
    <row r="37" spans="1:10" ht="40.5" x14ac:dyDescent="0.25">
      <c r="A37" s="156">
        <v>11311</v>
      </c>
      <c r="B37" s="83" t="s">
        <v>649</v>
      </c>
      <c r="C37" s="79"/>
      <c r="D37" s="146">
        <f t="shared" si="13"/>
        <v>6726</v>
      </c>
      <c r="E37" s="146">
        <v>6726</v>
      </c>
      <c r="F37" s="146" t="s">
        <v>0</v>
      </c>
      <c r="G37" s="146">
        <f t="shared" si="9"/>
        <v>1648.2687747035573</v>
      </c>
      <c r="H37" s="146">
        <f t="shared" si="10"/>
        <v>3269.9525691699605</v>
      </c>
      <c r="I37" s="146">
        <f t="shared" si="11"/>
        <v>4997.97628458498</v>
      </c>
      <c r="J37" s="146">
        <f t="shared" si="12"/>
        <v>6726</v>
      </c>
    </row>
    <row r="38" spans="1:10" ht="54" x14ac:dyDescent="0.25">
      <c r="A38" s="156">
        <v>11312</v>
      </c>
      <c r="B38" s="83" t="s">
        <v>706</v>
      </c>
      <c r="C38" s="79"/>
      <c r="D38" s="146">
        <f t="shared" si="13"/>
        <v>125</v>
      </c>
      <c r="E38" s="146">
        <v>125</v>
      </c>
      <c r="F38" s="146" t="s">
        <v>0</v>
      </c>
      <c r="G38" s="146">
        <f t="shared" si="9"/>
        <v>30.632411067193676</v>
      </c>
      <c r="H38" s="146">
        <f t="shared" si="10"/>
        <v>60.770750988142289</v>
      </c>
      <c r="I38" s="146">
        <f t="shared" si="11"/>
        <v>92.885375494071141</v>
      </c>
      <c r="J38" s="146">
        <f t="shared" si="12"/>
        <v>125</v>
      </c>
    </row>
    <row r="39" spans="1:10" ht="27" x14ac:dyDescent="0.25">
      <c r="A39" s="156">
        <v>11313</v>
      </c>
      <c r="B39" s="83" t="s">
        <v>707</v>
      </c>
      <c r="C39" s="79"/>
      <c r="D39" s="146">
        <f t="shared" si="13"/>
        <v>50220</v>
      </c>
      <c r="E39" s="146">
        <v>50220</v>
      </c>
      <c r="F39" s="146" t="s">
        <v>0</v>
      </c>
      <c r="G39" s="146">
        <f t="shared" si="9"/>
        <v>12306.877470355732</v>
      </c>
      <c r="H39" s="146">
        <f t="shared" si="10"/>
        <v>24415.256916996048</v>
      </c>
      <c r="I39" s="146">
        <f t="shared" si="11"/>
        <v>37317.628458498024</v>
      </c>
      <c r="J39" s="146">
        <f t="shared" si="12"/>
        <v>50220</v>
      </c>
    </row>
    <row r="40" spans="1:10" ht="81" x14ac:dyDescent="0.25">
      <c r="A40" s="156">
        <v>11314</v>
      </c>
      <c r="B40" s="83" t="s">
        <v>650</v>
      </c>
      <c r="C40" s="79"/>
      <c r="D40" s="146">
        <f t="shared" si="13"/>
        <v>750</v>
      </c>
      <c r="E40" s="146">
        <v>750</v>
      </c>
      <c r="F40" s="146" t="s">
        <v>0</v>
      </c>
      <c r="G40" s="146">
        <f t="shared" si="9"/>
        <v>183.79446640316206</v>
      </c>
      <c r="H40" s="146">
        <f t="shared" si="10"/>
        <v>364.62450592885381</v>
      </c>
      <c r="I40" s="146">
        <f t="shared" si="11"/>
        <v>557.31225296442688</v>
      </c>
      <c r="J40" s="146">
        <f t="shared" si="12"/>
        <v>750</v>
      </c>
    </row>
    <row r="41" spans="1:10" ht="54" x14ac:dyDescent="0.25">
      <c r="A41" s="156">
        <v>11315</v>
      </c>
      <c r="B41" s="83" t="s">
        <v>651</v>
      </c>
      <c r="C41" s="79"/>
      <c r="D41" s="146">
        <f t="shared" si="13"/>
        <v>0</v>
      </c>
      <c r="E41" s="146"/>
      <c r="F41" s="146" t="s">
        <v>0</v>
      </c>
      <c r="G41" s="146">
        <f t="shared" si="9"/>
        <v>0</v>
      </c>
      <c r="H41" s="146">
        <f t="shared" si="10"/>
        <v>0</v>
      </c>
      <c r="I41" s="146">
        <f t="shared" si="11"/>
        <v>0</v>
      </c>
      <c r="J41" s="146">
        <f t="shared" si="12"/>
        <v>0</v>
      </c>
    </row>
    <row r="42" spans="1:10" ht="54" x14ac:dyDescent="0.25">
      <c r="A42" s="156">
        <v>11316</v>
      </c>
      <c r="B42" s="83" t="s">
        <v>652</v>
      </c>
      <c r="C42" s="79"/>
      <c r="D42" s="146">
        <f t="shared" si="13"/>
        <v>750</v>
      </c>
      <c r="E42" s="146">
        <v>750</v>
      </c>
      <c r="F42" s="146" t="s">
        <v>0</v>
      </c>
      <c r="G42" s="146">
        <f t="shared" si="9"/>
        <v>183.79446640316206</v>
      </c>
      <c r="H42" s="146">
        <f t="shared" si="10"/>
        <v>364.62450592885381</v>
      </c>
      <c r="I42" s="146">
        <f t="shared" si="11"/>
        <v>557.31225296442688</v>
      </c>
      <c r="J42" s="146">
        <f t="shared" si="12"/>
        <v>750</v>
      </c>
    </row>
    <row r="43" spans="1:10" ht="40.5" x14ac:dyDescent="0.25">
      <c r="A43" s="156">
        <v>11317</v>
      </c>
      <c r="B43" s="83" t="s">
        <v>653</v>
      </c>
      <c r="C43" s="79"/>
      <c r="D43" s="146">
        <f t="shared" si="13"/>
        <v>0</v>
      </c>
      <c r="E43" s="146"/>
      <c r="F43" s="146" t="s">
        <v>0</v>
      </c>
      <c r="G43" s="146">
        <f t="shared" si="9"/>
        <v>0</v>
      </c>
      <c r="H43" s="146">
        <f t="shared" si="10"/>
        <v>0</v>
      </c>
      <c r="I43" s="146">
        <f t="shared" si="11"/>
        <v>0</v>
      </c>
      <c r="J43" s="146">
        <f t="shared" si="12"/>
        <v>0</v>
      </c>
    </row>
    <row r="44" spans="1:10" ht="40.5" x14ac:dyDescent="0.25">
      <c r="A44" s="156">
        <v>11318</v>
      </c>
      <c r="B44" s="83" t="s">
        <v>654</v>
      </c>
      <c r="C44" s="79"/>
      <c r="D44" s="146">
        <f t="shared" si="13"/>
        <v>0</v>
      </c>
      <c r="E44" s="146"/>
      <c r="F44" s="146" t="s">
        <v>0</v>
      </c>
      <c r="G44" s="146">
        <f t="shared" si="9"/>
        <v>0</v>
      </c>
      <c r="H44" s="146">
        <f t="shared" si="10"/>
        <v>0</v>
      </c>
      <c r="I44" s="146">
        <f t="shared" si="11"/>
        <v>0</v>
      </c>
      <c r="J44" s="146">
        <f t="shared" si="12"/>
        <v>0</v>
      </c>
    </row>
    <row r="45" spans="1:10" ht="40.5" x14ac:dyDescent="0.25">
      <c r="A45" s="156">
        <v>11319</v>
      </c>
      <c r="B45" s="83" t="s">
        <v>858</v>
      </c>
      <c r="C45" s="79"/>
      <c r="D45" s="146">
        <f t="shared" si="13"/>
        <v>90</v>
      </c>
      <c r="E45" s="146">
        <v>90</v>
      </c>
      <c r="F45" s="146" t="s">
        <v>0</v>
      </c>
      <c r="G45" s="146">
        <f t="shared" si="9"/>
        <v>22.055335968379445</v>
      </c>
      <c r="H45" s="146">
        <f t="shared" si="10"/>
        <v>43.754940711462453</v>
      </c>
      <c r="I45" s="146">
        <f t="shared" si="11"/>
        <v>66.877470355731219</v>
      </c>
      <c r="J45" s="146">
        <f t="shared" si="12"/>
        <v>90</v>
      </c>
    </row>
    <row r="46" spans="1:10" x14ac:dyDescent="0.25">
      <c r="A46" s="156">
        <v>11320</v>
      </c>
      <c r="B46" s="83" t="s">
        <v>708</v>
      </c>
      <c r="C46" s="79"/>
      <c r="D46" s="146">
        <f t="shared" si="13"/>
        <v>900</v>
      </c>
      <c r="E46" s="146">
        <v>900</v>
      </c>
      <c r="F46" s="146" t="s">
        <v>0</v>
      </c>
      <c r="G46" s="146">
        <f t="shared" si="9"/>
        <v>220.55335968379447</v>
      </c>
      <c r="H46" s="146">
        <f t="shared" si="10"/>
        <v>437.5494071146245</v>
      </c>
      <c r="I46" s="146">
        <f t="shared" si="11"/>
        <v>668.77470355731225</v>
      </c>
      <c r="J46" s="146">
        <f t="shared" si="12"/>
        <v>900</v>
      </c>
    </row>
    <row r="47" spans="1:10" ht="42.75" x14ac:dyDescent="0.25">
      <c r="A47" s="143">
        <v>1150</v>
      </c>
      <c r="B47" s="86" t="s">
        <v>709</v>
      </c>
      <c r="C47" s="144">
        <v>7146</v>
      </c>
      <c r="D47" s="88">
        <f>SUM(D48)</f>
        <v>55000</v>
      </c>
      <c r="E47" s="88">
        <f>SUM(E48)</f>
        <v>55000</v>
      </c>
      <c r="F47" s="88" t="s">
        <v>0</v>
      </c>
      <c r="G47" s="88">
        <f t="shared" ref="G47:J47" si="14">SUM(G48)</f>
        <v>13478.260869565216</v>
      </c>
      <c r="H47" s="88">
        <f t="shared" si="14"/>
        <v>26739.130434782608</v>
      </c>
      <c r="I47" s="88">
        <f t="shared" si="14"/>
        <v>40869.565217391304</v>
      </c>
      <c r="J47" s="88">
        <f t="shared" si="14"/>
        <v>55000</v>
      </c>
    </row>
    <row r="48" spans="1:10" ht="27" x14ac:dyDescent="0.25">
      <c r="A48" s="147">
        <v>1151</v>
      </c>
      <c r="B48" s="83" t="s">
        <v>843</v>
      </c>
      <c r="C48" s="79"/>
      <c r="D48" s="146">
        <f>SUM(D49,D50)</f>
        <v>55000</v>
      </c>
      <c r="E48" s="146">
        <f>SUM(E49,E50)</f>
        <v>55000</v>
      </c>
      <c r="F48" s="146" t="s">
        <v>0</v>
      </c>
      <c r="G48" s="146">
        <f t="shared" ref="G48:J48" si="15">SUM(G49,G50)</f>
        <v>13478.260869565216</v>
      </c>
      <c r="H48" s="146">
        <f t="shared" si="15"/>
        <v>26739.130434782608</v>
      </c>
      <c r="I48" s="146">
        <f t="shared" si="15"/>
        <v>40869.565217391304</v>
      </c>
      <c r="J48" s="146">
        <f t="shared" si="15"/>
        <v>55000</v>
      </c>
    </row>
    <row r="49" spans="1:10" s="207" customFormat="1" ht="108" x14ac:dyDescent="0.25">
      <c r="A49" s="147">
        <v>1152</v>
      </c>
      <c r="B49" s="83" t="s">
        <v>835</v>
      </c>
      <c r="C49" s="79"/>
      <c r="D49" s="146">
        <f>SUM(E49:F49)</f>
        <v>13000</v>
      </c>
      <c r="E49" s="146">
        <v>13000</v>
      </c>
      <c r="F49" s="146" t="s">
        <v>0</v>
      </c>
      <c r="G49" s="146">
        <f t="shared" ref="G49:G50" si="16">+D49/253*62</f>
        <v>3185.770750988142</v>
      </c>
      <c r="H49" s="146">
        <f t="shared" ref="H49:H50" si="17">+D49/253*123</f>
        <v>6320.158102766798</v>
      </c>
      <c r="I49" s="146">
        <f t="shared" ref="I49:I50" si="18">+D49/253*188</f>
        <v>9660.0790513833981</v>
      </c>
      <c r="J49" s="146">
        <f t="shared" ref="J49:J50" si="19">+D49</f>
        <v>13000</v>
      </c>
    </row>
    <row r="50" spans="1:10" ht="94.5" x14ac:dyDescent="0.25">
      <c r="A50" s="79">
        <v>1153</v>
      </c>
      <c r="B50" s="83" t="s">
        <v>710</v>
      </c>
      <c r="C50" s="79"/>
      <c r="D50" s="146">
        <f>SUM(E50:F50)</f>
        <v>42000</v>
      </c>
      <c r="E50" s="146">
        <v>42000</v>
      </c>
      <c r="F50" s="146" t="s">
        <v>0</v>
      </c>
      <c r="G50" s="146">
        <f t="shared" si="16"/>
        <v>10292.490118577074</v>
      </c>
      <c r="H50" s="146">
        <f t="shared" si="17"/>
        <v>20418.972332015808</v>
      </c>
      <c r="I50" s="146">
        <f t="shared" si="18"/>
        <v>31209.486166007904</v>
      </c>
      <c r="J50" s="146">
        <f t="shared" si="19"/>
        <v>42000</v>
      </c>
    </row>
    <row r="51" spans="1:10" ht="28.5" x14ac:dyDescent="0.25">
      <c r="A51" s="143">
        <v>1160</v>
      </c>
      <c r="B51" s="86" t="s">
        <v>711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 t="shared" ref="G51:J51" si="20">SUM(G52,G56)</f>
        <v>0</v>
      </c>
      <c r="H51" s="88">
        <f t="shared" si="20"/>
        <v>0</v>
      </c>
      <c r="I51" s="88">
        <f t="shared" si="20"/>
        <v>0</v>
      </c>
      <c r="J51" s="88">
        <f t="shared" si="20"/>
        <v>0</v>
      </c>
    </row>
    <row r="52" spans="1:10" ht="67.5" x14ac:dyDescent="0.25">
      <c r="A52" s="147">
        <v>1161</v>
      </c>
      <c r="B52" s="83" t="s">
        <v>836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/>
      <c r="H52" s="146"/>
      <c r="I52" s="146"/>
      <c r="J52" s="146"/>
    </row>
    <row r="53" spans="1:10" s="207" customFormat="1" ht="27" x14ac:dyDescent="0.25">
      <c r="A53" s="150">
        <v>1162</v>
      </c>
      <c r="B53" s="83" t="s">
        <v>745</v>
      </c>
      <c r="C53" s="79"/>
      <c r="D53" s="146">
        <f>SUM(E53:F53)</f>
        <v>0</v>
      </c>
      <c r="E53" s="146">
        <v>0</v>
      </c>
      <c r="F53" s="146" t="s">
        <v>0</v>
      </c>
      <c r="G53" s="82"/>
      <c r="H53" s="82"/>
      <c r="I53" s="82"/>
      <c r="J53" s="82"/>
    </row>
    <row r="54" spans="1:10" x14ac:dyDescent="0.25">
      <c r="A54" s="150">
        <v>1163</v>
      </c>
      <c r="B54" s="89" t="s">
        <v>712</v>
      </c>
      <c r="C54" s="79"/>
      <c r="D54" s="146">
        <f>SUM(E54:F54)</f>
        <v>0</v>
      </c>
      <c r="E54" s="146">
        <v>0</v>
      </c>
      <c r="F54" s="146" t="s">
        <v>0</v>
      </c>
      <c r="G54" s="148"/>
      <c r="H54" s="148"/>
      <c r="I54" s="148"/>
      <c r="J54" s="148"/>
    </row>
    <row r="55" spans="1:10" ht="54" x14ac:dyDescent="0.25">
      <c r="A55" s="150">
        <v>1164</v>
      </c>
      <c r="B55" s="89" t="s">
        <v>713</v>
      </c>
      <c r="C55" s="79"/>
      <c r="D55" s="146">
        <f>SUM(E55:F55)</f>
        <v>0</v>
      </c>
      <c r="E55" s="146">
        <v>0</v>
      </c>
      <c r="F55" s="146" t="s">
        <v>0</v>
      </c>
      <c r="G55" s="146"/>
      <c r="H55" s="146"/>
      <c r="I55" s="146"/>
      <c r="J55" s="146"/>
    </row>
    <row r="56" spans="1:10" ht="81" x14ac:dyDescent="0.25">
      <c r="A56" s="150">
        <v>1165</v>
      </c>
      <c r="B56" s="83" t="s">
        <v>714</v>
      </c>
      <c r="C56" s="79"/>
      <c r="D56" s="146">
        <f>SUM(E56:F56)</f>
        <v>0</v>
      </c>
      <c r="E56" s="146">
        <v>0</v>
      </c>
      <c r="F56" s="146" t="s">
        <v>0</v>
      </c>
      <c r="G56" s="146"/>
      <c r="H56" s="146"/>
      <c r="I56" s="146"/>
      <c r="J56" s="146"/>
    </row>
    <row r="57" spans="1:10" ht="42.75" x14ac:dyDescent="0.25">
      <c r="A57" s="143">
        <v>1200</v>
      </c>
      <c r="B57" s="86" t="s">
        <v>715</v>
      </c>
      <c r="C57" s="144">
        <v>7300</v>
      </c>
      <c r="D57" s="88">
        <f t="shared" ref="D57:F57" si="21">SUM(D58,D60,D62,D64,D66,D73)</f>
        <v>4382187.3569999998</v>
      </c>
      <c r="E57" s="88">
        <f t="shared" ref="E57" si="22">SUM(E58,E60,E62,E64,E66,E73)</f>
        <v>3522728.5</v>
      </c>
      <c r="F57" s="88">
        <f t="shared" si="21"/>
        <v>859458.85700000008</v>
      </c>
      <c r="G57" s="88">
        <f t="shared" ref="G57:J57" si="23">SUM(G58,G60,G62,G64,G66,G73)</f>
        <v>1332073.058</v>
      </c>
      <c r="H57" s="88">
        <f t="shared" si="23"/>
        <v>2212755.1830000002</v>
      </c>
      <c r="I57" s="88">
        <f t="shared" si="23"/>
        <v>3501505.2319999998</v>
      </c>
      <c r="J57" s="88">
        <f t="shared" si="23"/>
        <v>4382187.3569999998</v>
      </c>
    </row>
    <row r="58" spans="1:10" ht="57" x14ac:dyDescent="0.25">
      <c r="A58" s="143">
        <v>1210</v>
      </c>
      <c r="B58" s="86" t="s">
        <v>746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 t="shared" ref="G58:J58" si="24">SUM(G59)</f>
        <v>0</v>
      </c>
      <c r="H58" s="88">
        <f t="shared" si="24"/>
        <v>0</v>
      </c>
      <c r="I58" s="88">
        <f t="shared" si="24"/>
        <v>0</v>
      </c>
      <c r="J58" s="88">
        <f t="shared" si="24"/>
        <v>0</v>
      </c>
    </row>
    <row r="59" spans="1:10" s="207" customFormat="1" ht="81" x14ac:dyDescent="0.25">
      <c r="A59" s="147">
        <v>1211</v>
      </c>
      <c r="B59" s="83" t="s">
        <v>747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07" customFormat="1" ht="42.75" x14ac:dyDescent="0.25">
      <c r="A60" s="143">
        <v>1220</v>
      </c>
      <c r="B60" s="86" t="s">
        <v>716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748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07" customFormat="1" ht="42.75" x14ac:dyDescent="0.25">
      <c r="A62" s="143">
        <v>1230</v>
      </c>
      <c r="B62" s="86" t="s">
        <v>717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844</v>
      </c>
      <c r="C63" s="85"/>
      <c r="D63" s="146">
        <f>SUM(E63:F63)</f>
        <v>0</v>
      </c>
      <c r="E63" s="146"/>
      <c r="F63" s="146" t="s">
        <v>0</v>
      </c>
      <c r="G63" s="146"/>
      <c r="H63" s="146"/>
      <c r="I63" s="146"/>
      <c r="J63" s="146">
        <f>+D63</f>
        <v>0</v>
      </c>
    </row>
    <row r="64" spans="1:10" s="207" customFormat="1" ht="42.75" x14ac:dyDescent="0.25">
      <c r="A64" s="143">
        <v>1240</v>
      </c>
      <c r="B64" s="86" t="s">
        <v>718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0" ht="54" x14ac:dyDescent="0.25">
      <c r="A65" s="147">
        <v>1241</v>
      </c>
      <c r="B65" s="83" t="s">
        <v>845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0" s="207" customFormat="1" ht="57" x14ac:dyDescent="0.25">
      <c r="A66" s="143">
        <v>1250</v>
      </c>
      <c r="B66" s="86" t="s">
        <v>719</v>
      </c>
      <c r="C66" s="144">
        <v>7331</v>
      </c>
      <c r="D66" s="88">
        <f>SUM(D67,D68,D71,D72)</f>
        <v>3522728.5</v>
      </c>
      <c r="E66" s="88">
        <f>SUM(E67,E68,E71,E72)</f>
        <v>3522728.5</v>
      </c>
      <c r="F66" s="88" t="s">
        <v>0</v>
      </c>
      <c r="G66" s="88">
        <f>SUM(G67,G68,G71,G72)</f>
        <v>880682.125</v>
      </c>
      <c r="H66" s="88">
        <f>SUM(H67,H68,H71,H72)</f>
        <v>1761364.25</v>
      </c>
      <c r="I66" s="88">
        <f>SUM(I67,I68,I71,I72)</f>
        <v>2642046.375</v>
      </c>
      <c r="J66" s="88">
        <f>SUM(J67,J68,J71,J72)</f>
        <v>3522728.5</v>
      </c>
    </row>
    <row r="67" spans="1:10" ht="40.5" x14ac:dyDescent="0.25">
      <c r="A67" s="147">
        <v>1251</v>
      </c>
      <c r="B67" s="83" t="s">
        <v>846</v>
      </c>
      <c r="C67" s="79"/>
      <c r="D67" s="146">
        <f>+E67</f>
        <v>3522728.5</v>
      </c>
      <c r="E67" s="146">
        <v>3522728.5</v>
      </c>
      <c r="F67" s="146" t="s">
        <v>0</v>
      </c>
      <c r="G67" s="146">
        <f>+D67/4</f>
        <v>880682.125</v>
      </c>
      <c r="H67" s="146">
        <f>+D67/4*2</f>
        <v>1761364.25</v>
      </c>
      <c r="I67" s="146">
        <f>+D67/4*3</f>
        <v>2642046.375</v>
      </c>
      <c r="J67" s="146">
        <f>+D67</f>
        <v>3522728.5</v>
      </c>
    </row>
    <row r="68" spans="1:10" s="207" customFormat="1" ht="27" x14ac:dyDescent="0.25">
      <c r="A68" s="147">
        <v>1254</v>
      </c>
      <c r="B68" s="83" t="s">
        <v>720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0" ht="54" x14ac:dyDescent="0.25">
      <c r="A69" s="147">
        <v>1255</v>
      </c>
      <c r="B69" s="83" t="s">
        <v>847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0" x14ac:dyDescent="0.25">
      <c r="A70" s="147">
        <v>1256</v>
      </c>
      <c r="B70" s="89" t="s">
        <v>721</v>
      </c>
      <c r="C70" s="79"/>
      <c r="D70" s="146">
        <f>SUM(E70:F70)</f>
        <v>0</v>
      </c>
      <c r="E70" s="146">
        <v>0</v>
      </c>
      <c r="F70" s="146" t="s">
        <v>0</v>
      </c>
      <c r="G70" s="146">
        <f>+D70/4</f>
        <v>0</v>
      </c>
      <c r="H70" s="146">
        <f>+D70/4*2</f>
        <v>0</v>
      </c>
      <c r="I70" s="146">
        <f>+D70/4*3</f>
        <v>0</v>
      </c>
      <c r="J70" s="146">
        <f>+D70</f>
        <v>0</v>
      </c>
    </row>
    <row r="71" spans="1:10" ht="27" x14ac:dyDescent="0.25">
      <c r="A71" s="147">
        <v>1257</v>
      </c>
      <c r="B71" s="83" t="s">
        <v>722</v>
      </c>
      <c r="C71" s="85"/>
      <c r="D71" s="146">
        <f>SUM(E71:F71)</f>
        <v>0</v>
      </c>
      <c r="E71" s="146">
        <v>0</v>
      </c>
      <c r="F71" s="146" t="s">
        <v>0</v>
      </c>
      <c r="G71" s="146">
        <f>+D71/4</f>
        <v>0</v>
      </c>
      <c r="H71" s="146">
        <f>+D71/4*2</f>
        <v>0</v>
      </c>
      <c r="I71" s="146">
        <f>+D71/4*3</f>
        <v>0</v>
      </c>
      <c r="J71" s="146">
        <f>+D71</f>
        <v>0</v>
      </c>
    </row>
    <row r="72" spans="1:10" ht="40.5" x14ac:dyDescent="0.25">
      <c r="A72" s="147">
        <v>1258</v>
      </c>
      <c r="B72" s="83" t="s">
        <v>723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</row>
    <row r="73" spans="1:10" ht="42.75" x14ac:dyDescent="0.25">
      <c r="A73" s="143">
        <v>1260</v>
      </c>
      <c r="B73" s="86" t="s">
        <v>724</v>
      </c>
      <c r="C73" s="144">
        <v>7332</v>
      </c>
      <c r="D73" s="88">
        <f>SUM(D74:D75)</f>
        <v>859458.85700000008</v>
      </c>
      <c r="E73" s="88" t="s">
        <v>0</v>
      </c>
      <c r="F73" s="88">
        <f>SUM(F74:F75)</f>
        <v>859458.85700000008</v>
      </c>
      <c r="G73" s="82">
        <f>SUM(G74:G75)</f>
        <v>451390.93300000002</v>
      </c>
      <c r="H73" s="82">
        <f>SUM(H74:H75)</f>
        <v>451390.93300000002</v>
      </c>
      <c r="I73" s="82">
        <f>SUM(I74:I75)</f>
        <v>859458.85700000008</v>
      </c>
      <c r="J73" s="82">
        <f>SUM(J74:J75)</f>
        <v>859458.85700000008</v>
      </c>
    </row>
    <row r="74" spans="1:10" ht="40.5" x14ac:dyDescent="0.25">
      <c r="A74" s="147">
        <v>1261</v>
      </c>
      <c r="B74" s="83" t="s">
        <v>848</v>
      </c>
      <c r="C74" s="85"/>
      <c r="D74" s="146">
        <f>SUM(E74:F74)</f>
        <v>859458.85700000008</v>
      </c>
      <c r="E74" s="146" t="s">
        <v>0</v>
      </c>
      <c r="F74" s="146">
        <f>4987.293+446403.64+408067.924</f>
        <v>859458.85700000008</v>
      </c>
      <c r="G74" s="146">
        <v>451390.93300000002</v>
      </c>
      <c r="H74" s="146">
        <v>451390.93300000002</v>
      </c>
      <c r="I74" s="146">
        <v>859458.85700000008</v>
      </c>
      <c r="J74" s="146">
        <f>+D74</f>
        <v>859458.85700000008</v>
      </c>
    </row>
    <row r="75" spans="1:10" s="207" customFormat="1" ht="40.5" x14ac:dyDescent="0.25">
      <c r="A75" s="147">
        <v>1262</v>
      </c>
      <c r="B75" s="83" t="s">
        <v>725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0" ht="42.75" x14ac:dyDescent="0.25">
      <c r="A76" s="143" t="s">
        <v>608</v>
      </c>
      <c r="B76" s="86" t="s">
        <v>849</v>
      </c>
      <c r="C76" s="144">
        <v>7400</v>
      </c>
      <c r="D76" s="88">
        <f t="shared" ref="D76:J76" si="25">SUM(D77,D79,D81,D86,D90,D116,D119,D122,D125)</f>
        <v>810012.12300000002</v>
      </c>
      <c r="E76" s="88">
        <f t="shared" si="25"/>
        <v>790715.39300000004</v>
      </c>
      <c r="F76" s="88">
        <f t="shared" si="25"/>
        <v>781548.90399999998</v>
      </c>
      <c r="G76" s="82">
        <f t="shared" si="25"/>
        <v>231161.84607114602</v>
      </c>
      <c r="H76" s="82">
        <f t="shared" si="25"/>
        <v>409223.97639920952</v>
      </c>
      <c r="I76" s="82">
        <f t="shared" si="25"/>
        <v>609618.04969960195</v>
      </c>
      <c r="J76" s="82">
        <f t="shared" si="25"/>
        <v>810012.12300000002</v>
      </c>
    </row>
    <row r="77" spans="1:10" ht="14.25" x14ac:dyDescent="0.25">
      <c r="A77" s="143" t="s">
        <v>609</v>
      </c>
      <c r="B77" s="86" t="s">
        <v>850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0" s="207" customFormat="1" ht="54" x14ac:dyDescent="0.25">
      <c r="A78" s="145" t="s">
        <v>610</v>
      </c>
      <c r="B78" s="83" t="s">
        <v>851</v>
      </c>
      <c r="C78" s="85"/>
      <c r="D78" s="146">
        <f t="shared" ref="D78:D85" si="26">SUM(E78:F78)</f>
        <v>0</v>
      </c>
      <c r="E78" s="146" t="s">
        <v>0</v>
      </c>
      <c r="F78" s="146">
        <v>0</v>
      </c>
      <c r="G78" s="146">
        <f t="shared" ref="G78" si="27">+D78/253*62</f>
        <v>0</v>
      </c>
      <c r="H78" s="146">
        <f t="shared" ref="H78" si="28">+D78/253*123</f>
        <v>0</v>
      </c>
      <c r="I78" s="146">
        <f t="shared" ref="I78" si="29">+D78/253*188</f>
        <v>0</v>
      </c>
      <c r="J78" s="146">
        <f t="shared" ref="J78" si="30">+D78</f>
        <v>0</v>
      </c>
    </row>
    <row r="79" spans="1:10" s="207" customFormat="1" ht="14.25" x14ac:dyDescent="0.25">
      <c r="A79" s="143" t="s">
        <v>611</v>
      </c>
      <c r="B79" s="86" t="s">
        <v>726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0" ht="54" x14ac:dyDescent="0.25">
      <c r="A80" s="145" t="s">
        <v>612</v>
      </c>
      <c r="B80" s="83" t="s">
        <v>831</v>
      </c>
      <c r="C80" s="85"/>
      <c r="D80" s="146">
        <f t="shared" si="26"/>
        <v>0</v>
      </c>
      <c r="E80" s="146">
        <v>0</v>
      </c>
      <c r="F80" s="146" t="s">
        <v>0</v>
      </c>
      <c r="G80" s="146">
        <f t="shared" ref="G80" si="31">+D80/253*62</f>
        <v>0</v>
      </c>
      <c r="H80" s="146">
        <f t="shared" ref="H80" si="32">+D80/253*123</f>
        <v>0</v>
      </c>
      <c r="I80" s="146">
        <f t="shared" ref="I80" si="33">+D80/253*188</f>
        <v>0</v>
      </c>
      <c r="J80" s="146">
        <f t="shared" ref="J80" si="34">+D80</f>
        <v>0</v>
      </c>
    </row>
    <row r="81" spans="1:10" s="207" customFormat="1" ht="28.5" x14ac:dyDescent="0.25">
      <c r="A81" s="143" t="s">
        <v>613</v>
      </c>
      <c r="B81" s="86" t="s">
        <v>727</v>
      </c>
      <c r="C81" s="144">
        <v>7415</v>
      </c>
      <c r="D81" s="88">
        <f>SUM(D82:D85)</f>
        <v>167398.693</v>
      </c>
      <c r="E81" s="88">
        <f>SUM(E82:E85)</f>
        <v>167398.693</v>
      </c>
      <c r="F81" s="88" t="s">
        <v>0</v>
      </c>
      <c r="G81" s="82">
        <f>SUM(G82:G85)</f>
        <v>41022.604608695648</v>
      </c>
      <c r="H81" s="82">
        <f>SUM(H82:H85)</f>
        <v>81383.554304347825</v>
      </c>
      <c r="I81" s="82">
        <f>SUM(I82:I85)</f>
        <v>124391.12365217392</v>
      </c>
      <c r="J81" s="82">
        <f>SUM(J82:J85)</f>
        <v>167398.693</v>
      </c>
    </row>
    <row r="82" spans="1:10" ht="27" x14ac:dyDescent="0.25">
      <c r="A82" s="145" t="s">
        <v>614</v>
      </c>
      <c r="B82" s="83" t="s">
        <v>852</v>
      </c>
      <c r="C82" s="85"/>
      <c r="D82" s="146">
        <f t="shared" si="26"/>
        <v>128947.181</v>
      </c>
      <c r="E82" s="146">
        <f>123635.121+5312.06</f>
        <v>128947.181</v>
      </c>
      <c r="F82" s="146" t="s">
        <v>0</v>
      </c>
      <c r="G82" s="146">
        <f t="shared" ref="G82:G85" si="35">+D82/253*62</f>
        <v>31599.704434782609</v>
      </c>
      <c r="H82" s="146">
        <f t="shared" ref="H82:H85" si="36">+D82/253*123</f>
        <v>62689.736217391306</v>
      </c>
      <c r="I82" s="146">
        <f t="shared" ref="I82:I85" si="37">+D82/253*188</f>
        <v>95818.458608695655</v>
      </c>
      <c r="J82" s="146">
        <f t="shared" ref="J82:J85" si="38">+D82</f>
        <v>128947.181</v>
      </c>
    </row>
    <row r="83" spans="1:10" s="207" customFormat="1" ht="40.5" x14ac:dyDescent="0.25">
      <c r="A83" s="145" t="s">
        <v>615</v>
      </c>
      <c r="B83" s="83" t="s">
        <v>728</v>
      </c>
      <c r="C83" s="85"/>
      <c r="D83" s="146">
        <f t="shared" si="26"/>
        <v>0</v>
      </c>
      <c r="E83" s="146"/>
      <c r="F83" s="146" t="s">
        <v>0</v>
      </c>
      <c r="G83" s="146">
        <f t="shared" si="35"/>
        <v>0</v>
      </c>
      <c r="H83" s="146">
        <f t="shared" si="36"/>
        <v>0</v>
      </c>
      <c r="I83" s="146">
        <f t="shared" si="37"/>
        <v>0</v>
      </c>
      <c r="J83" s="146">
        <f t="shared" si="38"/>
        <v>0</v>
      </c>
    </row>
    <row r="84" spans="1:10" ht="54" x14ac:dyDescent="0.25">
      <c r="A84" s="145" t="s">
        <v>616</v>
      </c>
      <c r="B84" s="83" t="s">
        <v>729</v>
      </c>
      <c r="C84" s="85"/>
      <c r="D84" s="146">
        <f t="shared" si="26"/>
        <v>0</v>
      </c>
      <c r="E84" s="146"/>
      <c r="F84" s="146" t="s">
        <v>0</v>
      </c>
      <c r="G84" s="146">
        <f t="shared" si="35"/>
        <v>0</v>
      </c>
      <c r="H84" s="146">
        <f t="shared" si="36"/>
        <v>0</v>
      </c>
      <c r="I84" s="146">
        <f t="shared" si="37"/>
        <v>0</v>
      </c>
      <c r="J84" s="146">
        <f t="shared" si="38"/>
        <v>0</v>
      </c>
    </row>
    <row r="85" spans="1:10" x14ac:dyDescent="0.25">
      <c r="A85" s="149" t="s">
        <v>617</v>
      </c>
      <c r="B85" s="83" t="s">
        <v>730</v>
      </c>
      <c r="C85" s="85"/>
      <c r="D85" s="146">
        <f t="shared" si="26"/>
        <v>38451.511999999995</v>
      </c>
      <c r="E85" s="146">
        <f>38251.1+200.412</f>
        <v>38451.511999999995</v>
      </c>
      <c r="F85" s="146" t="s">
        <v>0</v>
      </c>
      <c r="G85" s="146">
        <f t="shared" si="35"/>
        <v>9422.9001739130435</v>
      </c>
      <c r="H85" s="146">
        <f t="shared" si="36"/>
        <v>18693.818086956522</v>
      </c>
      <c r="I85" s="146">
        <f t="shared" si="37"/>
        <v>28572.66504347826</v>
      </c>
      <c r="J85" s="146">
        <f t="shared" si="38"/>
        <v>38451.511999999995</v>
      </c>
    </row>
    <row r="86" spans="1:10" ht="57" x14ac:dyDescent="0.25">
      <c r="A86" s="143" t="s">
        <v>618</v>
      </c>
      <c r="B86" s="86" t="s">
        <v>832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619</v>
      </c>
      <c r="B87" s="83" t="s">
        <v>853</v>
      </c>
      <c r="C87" s="85"/>
      <c r="D87" s="146">
        <f>SUM(E87:F87)</f>
        <v>0</v>
      </c>
      <c r="E87" s="146">
        <v>0</v>
      </c>
      <c r="F87" s="146" t="s">
        <v>0</v>
      </c>
      <c r="G87" s="146">
        <f t="shared" ref="G87:G89" si="39">+D87/253*62</f>
        <v>0</v>
      </c>
      <c r="H87" s="146">
        <f t="shared" ref="H87:H89" si="40">+D87/253*123</f>
        <v>0</v>
      </c>
      <c r="I87" s="146">
        <f t="shared" ref="I87:I89" si="41">+D87/253*188</f>
        <v>0</v>
      </c>
      <c r="J87" s="146">
        <f t="shared" ref="J87:J89" si="42">+D87</f>
        <v>0</v>
      </c>
    </row>
    <row r="88" spans="1:10" s="207" customFormat="1" ht="54" x14ac:dyDescent="0.25">
      <c r="A88" s="145" t="s">
        <v>620</v>
      </c>
      <c r="B88" s="83" t="s">
        <v>731</v>
      </c>
      <c r="C88" s="79"/>
      <c r="D88" s="146">
        <f>SUM(E88:F88)</f>
        <v>0</v>
      </c>
      <c r="E88" s="146"/>
      <c r="F88" s="146" t="s">
        <v>0</v>
      </c>
      <c r="G88" s="146">
        <f t="shared" si="39"/>
        <v>0</v>
      </c>
      <c r="H88" s="146">
        <f t="shared" si="40"/>
        <v>0</v>
      </c>
      <c r="I88" s="146">
        <f t="shared" si="41"/>
        <v>0</v>
      </c>
      <c r="J88" s="146">
        <f t="shared" si="42"/>
        <v>0</v>
      </c>
    </row>
    <row r="89" spans="1:10" ht="67.5" x14ac:dyDescent="0.25">
      <c r="A89" s="149" t="s">
        <v>655</v>
      </c>
      <c r="B89" s="89" t="s">
        <v>732</v>
      </c>
      <c r="C89" s="79"/>
      <c r="D89" s="146">
        <f>SUM(E89:F89)</f>
        <v>0</v>
      </c>
      <c r="E89" s="146"/>
      <c r="F89" s="146" t="s">
        <v>0</v>
      </c>
      <c r="G89" s="146">
        <f t="shared" si="39"/>
        <v>0</v>
      </c>
      <c r="H89" s="146">
        <f t="shared" si="40"/>
        <v>0</v>
      </c>
      <c r="I89" s="146">
        <f t="shared" si="41"/>
        <v>0</v>
      </c>
      <c r="J89" s="146">
        <f t="shared" si="42"/>
        <v>0</v>
      </c>
    </row>
    <row r="90" spans="1:10" s="207" customFormat="1" ht="28.5" x14ac:dyDescent="0.25">
      <c r="A90" s="143" t="s">
        <v>621</v>
      </c>
      <c r="B90" s="86" t="s">
        <v>733</v>
      </c>
      <c r="C90" s="144">
        <v>7422</v>
      </c>
      <c r="D90" s="88">
        <f>D91+D114+D115</f>
        <v>573419.80000000005</v>
      </c>
      <c r="E90" s="88">
        <f>E91+E114+E115</f>
        <v>573419.80000000005</v>
      </c>
      <c r="F90" s="88" t="s">
        <v>0</v>
      </c>
      <c r="G90" s="82">
        <f>G91+G114+G115</f>
        <v>150521.84822134385</v>
      </c>
      <c r="H90" s="82">
        <f>H91+H114+H115</f>
        <v>278777.21501976281</v>
      </c>
      <c r="I90" s="82">
        <f>I91+I114+I115</f>
        <v>426098.5075098814</v>
      </c>
      <c r="J90" s="82">
        <f>J91+J114+J115</f>
        <v>573419.80000000005</v>
      </c>
    </row>
    <row r="91" spans="1:10" s="207" customFormat="1" ht="14.25" x14ac:dyDescent="0.25">
      <c r="A91" s="145" t="s">
        <v>622</v>
      </c>
      <c r="B91" s="83" t="s">
        <v>854</v>
      </c>
      <c r="C91" s="86"/>
      <c r="D91" s="146">
        <f>SUM(D93,D94,D95,D96,D97,D98,D99,D103,D104,D105,D106,D107,D108,D109,D110,D111,D112,D113)</f>
        <v>483419.8</v>
      </c>
      <c r="E91" s="146">
        <f>SUM(E93,E94,E95,E96,E97,E98,E99,E103,E104,E105,E106,E107,E108,E109,E110,E111,E112,E113)</f>
        <v>483419.8</v>
      </c>
      <c r="F91" s="146" t="s">
        <v>0</v>
      </c>
      <c r="G91" s="146">
        <f t="shared" ref="G91:J91" si="43">SUM(G93,G94,G95,G96,G97,G98,G99,G103,G104,G105,G106,G107,G108,G109,G110,G111,G112,G113)</f>
        <v>128466.51225296441</v>
      </c>
      <c r="H91" s="146">
        <f t="shared" si="43"/>
        <v>235022.27430830037</v>
      </c>
      <c r="I91" s="146">
        <f t="shared" si="43"/>
        <v>359221.0371541502</v>
      </c>
      <c r="J91" s="146">
        <f t="shared" si="43"/>
        <v>483419.8</v>
      </c>
    </row>
    <row r="92" spans="1:10" s="207" customFormat="1" ht="14.25" x14ac:dyDescent="0.25">
      <c r="A92" s="145"/>
      <c r="B92" s="83" t="s">
        <v>376</v>
      </c>
      <c r="C92" s="86"/>
      <c r="D92" s="146"/>
      <c r="E92" s="146"/>
      <c r="F92" s="146"/>
      <c r="G92" s="146"/>
      <c r="H92" s="146"/>
      <c r="I92" s="146"/>
      <c r="J92" s="146"/>
    </row>
    <row r="93" spans="1:10" s="207" customFormat="1" ht="67.5" x14ac:dyDescent="0.25">
      <c r="A93" s="145" t="s">
        <v>656</v>
      </c>
      <c r="B93" s="83" t="s">
        <v>657</v>
      </c>
      <c r="C93" s="79"/>
      <c r="D93" s="146">
        <f t="shared" ref="D93:D98" si="44">E93</f>
        <v>1000</v>
      </c>
      <c r="E93" s="146">
        <v>1000</v>
      </c>
      <c r="F93" s="146" t="s">
        <v>0</v>
      </c>
      <c r="G93" s="146">
        <f t="shared" ref="G93:G98" si="45">+D93/253*62</f>
        <v>245.05928853754941</v>
      </c>
      <c r="H93" s="146">
        <f t="shared" ref="H93:H98" si="46">+D93/253*123</f>
        <v>486.16600790513831</v>
      </c>
      <c r="I93" s="146">
        <f t="shared" ref="I93:I98" si="47">+D93/253*188</f>
        <v>743.08300395256913</v>
      </c>
      <c r="J93" s="146">
        <f t="shared" ref="J93:J98" si="48">+D93</f>
        <v>1000</v>
      </c>
    </row>
    <row r="94" spans="1:10" s="207" customFormat="1" ht="121.5" x14ac:dyDescent="0.25">
      <c r="A94" s="145" t="s">
        <v>658</v>
      </c>
      <c r="B94" s="83" t="s">
        <v>659</v>
      </c>
      <c r="C94" s="79"/>
      <c r="D94" s="146">
        <f t="shared" si="44"/>
        <v>960</v>
      </c>
      <c r="E94" s="146">
        <v>960</v>
      </c>
      <c r="F94" s="146" t="s">
        <v>0</v>
      </c>
      <c r="G94" s="146">
        <f t="shared" si="45"/>
        <v>235.25691699604741</v>
      </c>
      <c r="H94" s="146">
        <f t="shared" si="46"/>
        <v>466.71936758893281</v>
      </c>
      <c r="I94" s="146">
        <f t="shared" si="47"/>
        <v>713.35968379446638</v>
      </c>
      <c r="J94" s="146">
        <f t="shared" si="48"/>
        <v>960</v>
      </c>
    </row>
    <row r="95" spans="1:10" s="207" customFormat="1" ht="54" x14ac:dyDescent="0.25">
      <c r="A95" s="145" t="s">
        <v>660</v>
      </c>
      <c r="B95" s="83" t="s">
        <v>661</v>
      </c>
      <c r="C95" s="79"/>
      <c r="D95" s="146">
        <f t="shared" si="44"/>
        <v>0</v>
      </c>
      <c r="E95" s="146"/>
      <c r="F95" s="146" t="s">
        <v>0</v>
      </c>
      <c r="G95" s="146">
        <f t="shared" si="45"/>
        <v>0</v>
      </c>
      <c r="H95" s="146">
        <f t="shared" si="46"/>
        <v>0</v>
      </c>
      <c r="I95" s="146">
        <f t="shared" si="47"/>
        <v>0</v>
      </c>
      <c r="J95" s="146">
        <f t="shared" si="48"/>
        <v>0</v>
      </c>
    </row>
    <row r="96" spans="1:10" s="207" customFormat="1" ht="67.5" x14ac:dyDescent="0.25">
      <c r="A96" s="145" t="s">
        <v>662</v>
      </c>
      <c r="B96" s="83" t="s">
        <v>663</v>
      </c>
      <c r="C96" s="79"/>
      <c r="D96" s="146">
        <f t="shared" si="44"/>
        <v>675</v>
      </c>
      <c r="E96" s="146">
        <v>675</v>
      </c>
      <c r="F96" s="146" t="s">
        <v>0</v>
      </c>
      <c r="G96" s="146">
        <f t="shared" si="45"/>
        <v>165.41501976284587</v>
      </c>
      <c r="H96" s="146">
        <f t="shared" si="46"/>
        <v>328.16205533596838</v>
      </c>
      <c r="I96" s="146">
        <f t="shared" si="47"/>
        <v>501.58102766798424</v>
      </c>
      <c r="J96" s="146">
        <f t="shared" si="48"/>
        <v>675</v>
      </c>
    </row>
    <row r="97" spans="1:10" s="207" customFormat="1" ht="27" x14ac:dyDescent="0.25">
      <c r="A97" s="145" t="s">
        <v>664</v>
      </c>
      <c r="B97" s="83" t="s">
        <v>665</v>
      </c>
      <c r="C97" s="79"/>
      <c r="D97" s="146">
        <f t="shared" si="44"/>
        <v>7500</v>
      </c>
      <c r="E97" s="146">
        <v>7500</v>
      </c>
      <c r="F97" s="146" t="s">
        <v>0</v>
      </c>
      <c r="G97" s="146">
        <f t="shared" si="45"/>
        <v>1837.9446640316207</v>
      </c>
      <c r="H97" s="146">
        <f t="shared" si="46"/>
        <v>3646.2450592885375</v>
      </c>
      <c r="I97" s="146">
        <f t="shared" si="47"/>
        <v>5573.122529644269</v>
      </c>
      <c r="J97" s="146">
        <f t="shared" si="48"/>
        <v>7500</v>
      </c>
    </row>
    <row r="98" spans="1:10" s="207" customFormat="1" ht="40.5" x14ac:dyDescent="0.25">
      <c r="A98" s="145" t="s">
        <v>666</v>
      </c>
      <c r="B98" s="83" t="s">
        <v>667</v>
      </c>
      <c r="C98" s="79"/>
      <c r="D98" s="146">
        <f t="shared" si="44"/>
        <v>20</v>
      </c>
      <c r="E98" s="146">
        <v>20</v>
      </c>
      <c r="F98" s="146" t="s">
        <v>0</v>
      </c>
      <c r="G98" s="146">
        <f t="shared" si="45"/>
        <v>4.9011857707509883</v>
      </c>
      <c r="H98" s="146">
        <f t="shared" si="46"/>
        <v>9.7233201581027675</v>
      </c>
      <c r="I98" s="146">
        <f t="shared" si="47"/>
        <v>14.861660079051383</v>
      </c>
      <c r="J98" s="146">
        <f t="shared" si="48"/>
        <v>20</v>
      </c>
    </row>
    <row r="99" spans="1:10" s="207" customFormat="1" ht="14.25" x14ac:dyDescent="0.25">
      <c r="A99" s="145" t="s">
        <v>668</v>
      </c>
      <c r="B99" s="86" t="s">
        <v>669</v>
      </c>
      <c r="C99" s="79"/>
      <c r="D99" s="146">
        <f>SUM(D100:D102)</f>
        <v>241000</v>
      </c>
      <c r="E99" s="146">
        <f>SUM(E100:E102)</f>
        <v>241000</v>
      </c>
      <c r="F99" s="146" t="s">
        <v>0</v>
      </c>
      <c r="G99" s="146">
        <f t="shared" ref="G99:J99" si="49">SUM(G100:G102)</f>
        <v>69059.288537549393</v>
      </c>
      <c r="H99" s="146">
        <f t="shared" si="49"/>
        <v>117166.00790513834</v>
      </c>
      <c r="I99" s="146">
        <f t="shared" si="49"/>
        <v>179083.00395256918</v>
      </c>
      <c r="J99" s="146">
        <f t="shared" si="49"/>
        <v>241000</v>
      </c>
    </row>
    <row r="100" spans="1:10" s="207" customFormat="1" ht="40.5" x14ac:dyDescent="0.25">
      <c r="A100" s="145"/>
      <c r="B100" s="83" t="s">
        <v>670</v>
      </c>
      <c r="C100" s="79"/>
      <c r="D100" s="146">
        <f t="shared" ref="D100:D114" si="50">E100</f>
        <v>140400</v>
      </c>
      <c r="E100" s="146">
        <v>140400</v>
      </c>
      <c r="F100" s="146" t="s">
        <v>0</v>
      </c>
      <c r="G100" s="146">
        <v>39406.3241106719</v>
      </c>
      <c r="H100" s="146">
        <f t="shared" ref="H100:H115" si="51">+D100/253*123</f>
        <v>68257.707509881424</v>
      </c>
      <c r="I100" s="146">
        <f t="shared" ref="I100:I115" si="52">+D100/253*188</f>
        <v>104328.85375494072</v>
      </c>
      <c r="J100" s="146">
        <f t="shared" ref="J100:J115" si="53">+D100</f>
        <v>140400</v>
      </c>
    </row>
    <row r="101" spans="1:10" s="207" customFormat="1" ht="54" x14ac:dyDescent="0.25">
      <c r="A101" s="145"/>
      <c r="B101" s="83" t="s">
        <v>671</v>
      </c>
      <c r="C101" s="79"/>
      <c r="D101" s="146">
        <f t="shared" si="50"/>
        <v>90600</v>
      </c>
      <c r="E101" s="146">
        <v>90600</v>
      </c>
      <c r="F101" s="146" t="s">
        <v>0</v>
      </c>
      <c r="G101" s="146">
        <v>27202.371541502001</v>
      </c>
      <c r="H101" s="146">
        <f t="shared" si="51"/>
        <v>44046.640316205536</v>
      </c>
      <c r="I101" s="146">
        <f t="shared" si="52"/>
        <v>67323.320158102768</v>
      </c>
      <c r="J101" s="146">
        <f t="shared" si="53"/>
        <v>90600</v>
      </c>
    </row>
    <row r="102" spans="1:10" s="207" customFormat="1" ht="14.25" x14ac:dyDescent="0.25">
      <c r="A102" s="145"/>
      <c r="B102" s="83" t="s">
        <v>672</v>
      </c>
      <c r="C102" s="79"/>
      <c r="D102" s="146">
        <f t="shared" si="50"/>
        <v>10000</v>
      </c>
      <c r="E102" s="146">
        <v>10000</v>
      </c>
      <c r="F102" s="146" t="s">
        <v>0</v>
      </c>
      <c r="G102" s="146">
        <f t="shared" ref="G102:G115" si="54">+D102/253*62</f>
        <v>2450.592885375494</v>
      </c>
      <c r="H102" s="146">
        <f t="shared" si="51"/>
        <v>4861.660079051383</v>
      </c>
      <c r="I102" s="146">
        <f t="shared" si="52"/>
        <v>7430.830039525692</v>
      </c>
      <c r="J102" s="146">
        <f t="shared" si="53"/>
        <v>10000</v>
      </c>
    </row>
    <row r="103" spans="1:10" s="207" customFormat="1" ht="81" x14ac:dyDescent="0.25">
      <c r="A103" s="145" t="s">
        <v>673</v>
      </c>
      <c r="B103" s="83" t="s">
        <v>674</v>
      </c>
      <c r="C103" s="79"/>
      <c r="D103" s="146">
        <f t="shared" si="50"/>
        <v>0</v>
      </c>
      <c r="E103" s="146">
        <v>0</v>
      </c>
      <c r="F103" s="146" t="s">
        <v>0</v>
      </c>
      <c r="G103" s="146">
        <f t="shared" si="54"/>
        <v>0</v>
      </c>
      <c r="H103" s="146">
        <f t="shared" si="51"/>
        <v>0</v>
      </c>
      <c r="I103" s="146">
        <f t="shared" si="52"/>
        <v>0</v>
      </c>
      <c r="J103" s="146">
        <f t="shared" si="53"/>
        <v>0</v>
      </c>
    </row>
    <row r="104" spans="1:10" s="207" customFormat="1" ht="54" x14ac:dyDescent="0.25">
      <c r="A104" s="145" t="s">
        <v>675</v>
      </c>
      <c r="B104" s="83" t="s">
        <v>676</v>
      </c>
      <c r="C104" s="79"/>
      <c r="D104" s="146">
        <f t="shared" si="50"/>
        <v>0</v>
      </c>
      <c r="E104" s="146">
        <v>0</v>
      </c>
      <c r="F104" s="146" t="s">
        <v>0</v>
      </c>
      <c r="G104" s="146">
        <f t="shared" si="54"/>
        <v>0</v>
      </c>
      <c r="H104" s="146">
        <f t="shared" si="51"/>
        <v>0</v>
      </c>
      <c r="I104" s="146">
        <f t="shared" si="52"/>
        <v>0</v>
      </c>
      <c r="J104" s="146">
        <f t="shared" si="53"/>
        <v>0</v>
      </c>
    </row>
    <row r="105" spans="1:10" s="207" customFormat="1" ht="67.5" x14ac:dyDescent="0.25">
      <c r="A105" s="145" t="s">
        <v>677</v>
      </c>
      <c r="B105" s="83" t="s">
        <v>678</v>
      </c>
      <c r="C105" s="79"/>
      <c r="D105" s="146">
        <f t="shared" si="50"/>
        <v>0</v>
      </c>
      <c r="E105" s="146">
        <v>0</v>
      </c>
      <c r="F105" s="146" t="s">
        <v>0</v>
      </c>
      <c r="G105" s="146">
        <f t="shared" si="54"/>
        <v>0</v>
      </c>
      <c r="H105" s="146">
        <f t="shared" si="51"/>
        <v>0</v>
      </c>
      <c r="I105" s="146">
        <f t="shared" si="52"/>
        <v>0</v>
      </c>
      <c r="J105" s="146">
        <f t="shared" si="53"/>
        <v>0</v>
      </c>
    </row>
    <row r="106" spans="1:10" s="207" customFormat="1" ht="135" x14ac:dyDescent="0.25">
      <c r="A106" s="145" t="s">
        <v>679</v>
      </c>
      <c r="B106" s="83" t="s">
        <v>734</v>
      </c>
      <c r="C106" s="79"/>
      <c r="D106" s="146">
        <f t="shared" si="50"/>
        <v>0</v>
      </c>
      <c r="E106" s="146">
        <v>0</v>
      </c>
      <c r="F106" s="146" t="s">
        <v>0</v>
      </c>
      <c r="G106" s="146">
        <f t="shared" si="54"/>
        <v>0</v>
      </c>
      <c r="H106" s="146">
        <f t="shared" si="51"/>
        <v>0</v>
      </c>
      <c r="I106" s="146">
        <f t="shared" si="52"/>
        <v>0</v>
      </c>
      <c r="J106" s="146">
        <f t="shared" si="53"/>
        <v>0</v>
      </c>
    </row>
    <row r="107" spans="1:10" s="207" customFormat="1" ht="54" x14ac:dyDescent="0.25">
      <c r="A107" s="145" t="s">
        <v>680</v>
      </c>
      <c r="B107" s="83" t="s">
        <v>681</v>
      </c>
      <c r="C107" s="79"/>
      <c r="D107" s="146">
        <f t="shared" si="50"/>
        <v>0</v>
      </c>
      <c r="E107" s="146">
        <v>0</v>
      </c>
      <c r="F107" s="146" t="s">
        <v>0</v>
      </c>
      <c r="G107" s="146">
        <f t="shared" si="54"/>
        <v>0</v>
      </c>
      <c r="H107" s="146">
        <f t="shared" si="51"/>
        <v>0</v>
      </c>
      <c r="I107" s="146">
        <f t="shared" si="52"/>
        <v>0</v>
      </c>
      <c r="J107" s="146">
        <f t="shared" si="53"/>
        <v>0</v>
      </c>
    </row>
    <row r="108" spans="1:10" s="207" customFormat="1" ht="67.5" x14ac:dyDescent="0.25">
      <c r="A108" s="145" t="s">
        <v>682</v>
      </c>
      <c r="B108" s="83" t="s">
        <v>683</v>
      </c>
      <c r="C108" s="79"/>
      <c r="D108" s="146">
        <f t="shared" si="50"/>
        <v>115728</v>
      </c>
      <c r="E108" s="146">
        <v>115728</v>
      </c>
      <c r="F108" s="146" t="s">
        <v>0</v>
      </c>
      <c r="G108" s="146">
        <f t="shared" si="54"/>
        <v>28360.221343873516</v>
      </c>
      <c r="H108" s="146">
        <f t="shared" si="51"/>
        <v>56263.019762845848</v>
      </c>
      <c r="I108" s="146">
        <f t="shared" si="52"/>
        <v>85995.509881422928</v>
      </c>
      <c r="J108" s="146">
        <f t="shared" si="53"/>
        <v>115728</v>
      </c>
    </row>
    <row r="109" spans="1:10" s="207" customFormat="1" ht="94.5" x14ac:dyDescent="0.25">
      <c r="A109" s="145" t="s">
        <v>684</v>
      </c>
      <c r="B109" s="83" t="s">
        <v>685</v>
      </c>
      <c r="C109" s="79"/>
      <c r="D109" s="146">
        <f t="shared" si="50"/>
        <v>91276.800000000003</v>
      </c>
      <c r="E109" s="146">
        <v>91276.800000000003</v>
      </c>
      <c r="F109" s="146" t="s">
        <v>0</v>
      </c>
      <c r="G109" s="146">
        <f t="shared" si="54"/>
        <v>22368.227667984189</v>
      </c>
      <c r="H109" s="146">
        <f t="shared" si="51"/>
        <v>44375.677470355731</v>
      </c>
      <c r="I109" s="146">
        <f t="shared" si="52"/>
        <v>67826.23873517786</v>
      </c>
      <c r="J109" s="146">
        <f t="shared" si="53"/>
        <v>91276.800000000003</v>
      </c>
    </row>
    <row r="110" spans="1:10" s="207" customFormat="1" ht="94.5" x14ac:dyDescent="0.25">
      <c r="A110" s="145" t="s">
        <v>686</v>
      </c>
      <c r="B110" s="83" t="s">
        <v>687</v>
      </c>
      <c r="C110" s="79"/>
      <c r="D110" s="146">
        <f t="shared" si="50"/>
        <v>0</v>
      </c>
      <c r="E110" s="146"/>
      <c r="F110" s="146" t="s">
        <v>0</v>
      </c>
      <c r="G110" s="146">
        <f t="shared" si="54"/>
        <v>0</v>
      </c>
      <c r="H110" s="146">
        <f t="shared" si="51"/>
        <v>0</v>
      </c>
      <c r="I110" s="146">
        <f t="shared" si="52"/>
        <v>0</v>
      </c>
      <c r="J110" s="146">
        <f t="shared" si="53"/>
        <v>0</v>
      </c>
    </row>
    <row r="111" spans="1:10" s="207" customFormat="1" ht="54" x14ac:dyDescent="0.25">
      <c r="A111" s="145" t="s">
        <v>688</v>
      </c>
      <c r="B111" s="83" t="s">
        <v>689</v>
      </c>
      <c r="C111" s="79"/>
      <c r="D111" s="146">
        <f t="shared" si="50"/>
        <v>25200</v>
      </c>
      <c r="E111" s="146">
        <v>25200</v>
      </c>
      <c r="F111" s="146" t="s">
        <v>0</v>
      </c>
      <c r="G111" s="146">
        <f t="shared" si="54"/>
        <v>6175.494071146245</v>
      </c>
      <c r="H111" s="146">
        <f t="shared" si="51"/>
        <v>12251.383399209486</v>
      </c>
      <c r="I111" s="146">
        <f t="shared" si="52"/>
        <v>18725.691699604744</v>
      </c>
      <c r="J111" s="146">
        <f t="shared" si="53"/>
        <v>25200</v>
      </c>
    </row>
    <row r="112" spans="1:10" s="207" customFormat="1" ht="14.25" x14ac:dyDescent="0.25">
      <c r="A112" s="145" t="s">
        <v>690</v>
      </c>
      <c r="B112" s="83" t="s">
        <v>691</v>
      </c>
      <c r="C112" s="79"/>
      <c r="D112" s="146">
        <f t="shared" si="50"/>
        <v>0</v>
      </c>
      <c r="E112" s="146"/>
      <c r="F112" s="146" t="s">
        <v>0</v>
      </c>
      <c r="G112" s="146">
        <f t="shared" si="54"/>
        <v>0</v>
      </c>
      <c r="H112" s="146">
        <f t="shared" si="51"/>
        <v>0</v>
      </c>
      <c r="I112" s="146">
        <f t="shared" si="52"/>
        <v>0</v>
      </c>
      <c r="J112" s="146">
        <f t="shared" si="53"/>
        <v>0</v>
      </c>
    </row>
    <row r="113" spans="1:10" s="207" customFormat="1" ht="27" x14ac:dyDescent="0.25">
      <c r="A113" s="145" t="s">
        <v>692</v>
      </c>
      <c r="B113" s="83" t="s">
        <v>693</v>
      </c>
      <c r="C113" s="79"/>
      <c r="D113" s="146">
        <f t="shared" si="50"/>
        <v>60</v>
      </c>
      <c r="E113" s="146">
        <v>60</v>
      </c>
      <c r="F113" s="146" t="s">
        <v>0</v>
      </c>
      <c r="G113" s="146">
        <f t="shared" si="54"/>
        <v>14.703557312252963</v>
      </c>
      <c r="H113" s="146">
        <f t="shared" si="51"/>
        <v>29.169960474308301</v>
      </c>
      <c r="I113" s="146">
        <f t="shared" si="52"/>
        <v>44.584980237154149</v>
      </c>
      <c r="J113" s="146">
        <f t="shared" si="53"/>
        <v>60</v>
      </c>
    </row>
    <row r="114" spans="1:10" s="207" customFormat="1" ht="40.5" x14ac:dyDescent="0.25">
      <c r="A114" s="145" t="s">
        <v>623</v>
      </c>
      <c r="B114" s="83" t="s">
        <v>694</v>
      </c>
      <c r="C114" s="79"/>
      <c r="D114" s="146">
        <f t="shared" si="50"/>
        <v>90000</v>
      </c>
      <c r="E114" s="146">
        <v>90000</v>
      </c>
      <c r="F114" s="146" t="s">
        <v>0</v>
      </c>
      <c r="G114" s="146">
        <f t="shared" si="54"/>
        <v>22055.335968379448</v>
      </c>
      <c r="H114" s="146">
        <f t="shared" si="51"/>
        <v>43754.940711462448</v>
      </c>
      <c r="I114" s="146">
        <f t="shared" si="52"/>
        <v>66877.470355731231</v>
      </c>
      <c r="J114" s="146">
        <f t="shared" si="53"/>
        <v>90000</v>
      </c>
    </row>
    <row r="115" spans="1:10" s="207" customFormat="1" ht="14.25" x14ac:dyDescent="0.25">
      <c r="A115" s="145" t="s">
        <v>638</v>
      </c>
      <c r="B115" s="83" t="s">
        <v>695</v>
      </c>
      <c r="C115" s="79"/>
      <c r="D115" s="146">
        <f>E115</f>
        <v>0</v>
      </c>
      <c r="E115" s="146"/>
      <c r="F115" s="146" t="s">
        <v>0</v>
      </c>
      <c r="G115" s="146">
        <f t="shared" si="54"/>
        <v>0</v>
      </c>
      <c r="H115" s="146">
        <f t="shared" si="51"/>
        <v>0</v>
      </c>
      <c r="I115" s="146">
        <f t="shared" si="52"/>
        <v>0</v>
      </c>
      <c r="J115" s="146">
        <f t="shared" si="53"/>
        <v>0</v>
      </c>
    </row>
    <row r="116" spans="1:10" ht="28.5" x14ac:dyDescent="0.25">
      <c r="A116" s="143" t="s">
        <v>624</v>
      </c>
      <c r="B116" s="86" t="s">
        <v>735</v>
      </c>
      <c r="C116" s="144">
        <v>7431</v>
      </c>
      <c r="D116" s="88">
        <f>SUM(D117:D118)</f>
        <v>6250</v>
      </c>
      <c r="E116" s="88">
        <f>SUM(E117:E118)</f>
        <v>6250</v>
      </c>
      <c r="F116" s="88" t="s">
        <v>0</v>
      </c>
      <c r="G116" s="82">
        <f>SUM(G117:G118)</f>
        <v>1531.6205533596838</v>
      </c>
      <c r="H116" s="82">
        <f>SUM(H117:H118)</f>
        <v>3038.5375494071145</v>
      </c>
      <c r="I116" s="82">
        <f>SUM(I117:I118)</f>
        <v>4644.268774703557</v>
      </c>
      <c r="J116" s="82">
        <f>SUM(J117:J118)</f>
        <v>6250</v>
      </c>
    </row>
    <row r="117" spans="1:10" ht="54" x14ac:dyDescent="0.25">
      <c r="A117" s="145" t="s">
        <v>625</v>
      </c>
      <c r="B117" s="83" t="s">
        <v>855</v>
      </c>
      <c r="C117" s="85"/>
      <c r="D117" s="146">
        <f>SUM(E117:F117)</f>
        <v>6250</v>
      </c>
      <c r="E117" s="146">
        <v>6250</v>
      </c>
      <c r="F117" s="146" t="s">
        <v>0</v>
      </c>
      <c r="G117" s="146">
        <f t="shared" ref="G117" si="55">+D117/253*62</f>
        <v>1531.6205533596838</v>
      </c>
      <c r="H117" s="146">
        <f t="shared" ref="H117" si="56">+D117/253*123</f>
        <v>3038.5375494071145</v>
      </c>
      <c r="I117" s="146">
        <f t="shared" ref="I117" si="57">+D117/253*188</f>
        <v>4644.268774703557</v>
      </c>
      <c r="J117" s="146">
        <f t="shared" ref="J117" si="58">+D117</f>
        <v>6250</v>
      </c>
    </row>
    <row r="118" spans="1:10" s="207" customFormat="1" ht="40.5" x14ac:dyDescent="0.25">
      <c r="A118" s="145" t="s">
        <v>626</v>
      </c>
      <c r="B118" s="83" t="s">
        <v>736</v>
      </c>
      <c r="C118" s="85"/>
      <c r="D118" s="146">
        <f>SUM(E118:F118)</f>
        <v>0</v>
      </c>
      <c r="E118" s="146">
        <v>0</v>
      </c>
      <c r="F118" s="146" t="s">
        <v>0</v>
      </c>
      <c r="G118" s="146"/>
      <c r="H118" s="146"/>
      <c r="I118" s="146"/>
      <c r="J118" s="146"/>
    </row>
    <row r="119" spans="1:10" ht="28.5" x14ac:dyDescent="0.25">
      <c r="A119" s="143" t="s">
        <v>627</v>
      </c>
      <c r="B119" s="86" t="s">
        <v>737</v>
      </c>
      <c r="C119" s="144">
        <v>7441</v>
      </c>
      <c r="D119" s="88">
        <f>SUM(D120:D121)</f>
        <v>10000</v>
      </c>
      <c r="E119" s="88">
        <f>SUM(E120:E121)</f>
        <v>10000</v>
      </c>
      <c r="F119" s="88" t="s">
        <v>0</v>
      </c>
      <c r="G119" s="82">
        <f>SUM(G120:G121)</f>
        <v>10000</v>
      </c>
      <c r="H119" s="82">
        <f>SUM(H120:H121)</f>
        <v>10000</v>
      </c>
      <c r="I119" s="82">
        <f>SUM(I120:I121)</f>
        <v>10000</v>
      </c>
      <c r="J119" s="82">
        <f>SUM(J120:J121)</f>
        <v>10000</v>
      </c>
    </row>
    <row r="120" spans="1:10" s="207" customFormat="1" ht="121.5" x14ac:dyDescent="0.25">
      <c r="A120" s="83" t="s">
        <v>628</v>
      </c>
      <c r="B120" s="83" t="s">
        <v>856</v>
      </c>
      <c r="C120" s="85"/>
      <c r="D120" s="146">
        <f>SUM(E120:F120)</f>
        <v>0</v>
      </c>
      <c r="E120" s="146">
        <v>0</v>
      </c>
      <c r="F120" s="146" t="s">
        <v>0</v>
      </c>
      <c r="G120" s="146"/>
      <c r="H120" s="146"/>
      <c r="I120" s="146"/>
      <c r="J120" s="146"/>
    </row>
    <row r="121" spans="1:10" s="207" customFormat="1" ht="108" x14ac:dyDescent="0.25">
      <c r="A121" s="149" t="s">
        <v>629</v>
      </c>
      <c r="B121" s="83" t="s">
        <v>738</v>
      </c>
      <c r="C121" s="85"/>
      <c r="D121" s="146">
        <f>SUM(E121:F121)</f>
        <v>10000</v>
      </c>
      <c r="E121" s="146">
        <v>10000</v>
      </c>
      <c r="F121" s="146" t="s">
        <v>0</v>
      </c>
      <c r="G121" s="146">
        <v>10000</v>
      </c>
      <c r="H121" s="146">
        <v>10000</v>
      </c>
      <c r="I121" s="146">
        <v>10000</v>
      </c>
      <c r="J121" s="146">
        <f>+D121</f>
        <v>10000</v>
      </c>
    </row>
    <row r="122" spans="1:10" s="207" customFormat="1" ht="28.5" x14ac:dyDescent="0.25">
      <c r="A122" s="143" t="s">
        <v>630</v>
      </c>
      <c r="B122" s="86" t="s">
        <v>739</v>
      </c>
      <c r="C122" s="144">
        <v>7442</v>
      </c>
      <c r="D122" s="88">
        <f>SUM(D123:D124)</f>
        <v>19296.73</v>
      </c>
      <c r="E122" s="88" t="s">
        <v>0</v>
      </c>
      <c r="F122" s="88">
        <f>SUM(F123:F124)</f>
        <v>19296.73</v>
      </c>
      <c r="G122" s="88">
        <f>SUM(G123:G124)</f>
        <v>19296.73</v>
      </c>
      <c r="H122" s="88">
        <f>SUM(H123:H124)</f>
        <v>19296.73</v>
      </c>
      <c r="I122" s="88">
        <f>SUM(I123:I124)</f>
        <v>19296.73</v>
      </c>
      <c r="J122" s="88">
        <f>SUM(J123:J124)</f>
        <v>19296.73</v>
      </c>
    </row>
    <row r="123" spans="1:10" s="207" customFormat="1" ht="135" x14ac:dyDescent="0.25">
      <c r="A123" s="145" t="s">
        <v>631</v>
      </c>
      <c r="B123" s="89" t="s">
        <v>833</v>
      </c>
      <c r="C123" s="85"/>
      <c r="D123" s="146">
        <f>SUM(E123:F123)</f>
        <v>19296.73</v>
      </c>
      <c r="E123" s="146" t="s">
        <v>0</v>
      </c>
      <c r="F123" s="146">
        <v>19296.73</v>
      </c>
      <c r="G123" s="146">
        <v>19296.73</v>
      </c>
      <c r="H123" s="146">
        <v>19296.73</v>
      </c>
      <c r="I123" s="146">
        <v>19296.73</v>
      </c>
      <c r="J123" s="146">
        <f t="shared" ref="J123" si="59">+D123</f>
        <v>19296.73</v>
      </c>
    </row>
    <row r="124" spans="1:10" s="207" customFormat="1" ht="121.5" x14ac:dyDescent="0.25">
      <c r="A124" s="145" t="s">
        <v>632</v>
      </c>
      <c r="B124" s="83" t="s">
        <v>740</v>
      </c>
      <c r="C124" s="85"/>
      <c r="D124" s="146">
        <f>SUM(E124:F124)</f>
        <v>0</v>
      </c>
      <c r="E124" s="146" t="s">
        <v>0</v>
      </c>
      <c r="F124" s="146">
        <v>0</v>
      </c>
      <c r="G124" s="146"/>
      <c r="H124" s="146"/>
      <c r="I124" s="146"/>
      <c r="J124" s="146"/>
    </row>
    <row r="125" spans="1:10" ht="28.5" x14ac:dyDescent="0.25">
      <c r="A125" s="151" t="s">
        <v>633</v>
      </c>
      <c r="B125" s="86" t="s">
        <v>834</v>
      </c>
      <c r="C125" s="144">
        <v>7452</v>
      </c>
      <c r="D125" s="88">
        <f>+D126+D128</f>
        <v>33646.9</v>
      </c>
      <c r="E125" s="88">
        <f>SUM(E126:E128)</f>
        <v>33646.9</v>
      </c>
      <c r="F125" s="88">
        <f>SUM(F126:F128)</f>
        <v>762252.174</v>
      </c>
      <c r="G125" s="88">
        <f>+G126+G128</f>
        <v>8789.0426877468271</v>
      </c>
      <c r="H125" s="88">
        <f>+H126+H128</f>
        <v>16727.939525691803</v>
      </c>
      <c r="I125" s="88">
        <f>+I126+I128</f>
        <v>25187.419762843019</v>
      </c>
      <c r="J125" s="88">
        <f>+J126+J128</f>
        <v>33646.9</v>
      </c>
    </row>
    <row r="126" spans="1:10" s="207" customFormat="1" ht="27" x14ac:dyDescent="0.25">
      <c r="A126" s="145" t="s">
        <v>634</v>
      </c>
      <c r="B126" s="83" t="s">
        <v>830</v>
      </c>
      <c r="C126" s="85"/>
      <c r="D126" s="146">
        <f>SUM(E126:F126)</f>
        <v>0</v>
      </c>
      <c r="E126" s="146" t="s">
        <v>0</v>
      </c>
      <c r="F126" s="146">
        <v>0</v>
      </c>
      <c r="G126" s="146"/>
      <c r="H126" s="146"/>
      <c r="I126" s="146"/>
      <c r="J126" s="146"/>
    </row>
    <row r="127" spans="1:10" s="207" customFormat="1" ht="27" x14ac:dyDescent="0.25">
      <c r="A127" s="145" t="s">
        <v>635</v>
      </c>
      <c r="B127" s="83" t="s">
        <v>741</v>
      </c>
      <c r="C127" s="85"/>
      <c r="D127" s="146">
        <f>+F127</f>
        <v>762252.174</v>
      </c>
      <c r="E127" s="146" t="s">
        <v>0</v>
      </c>
      <c r="F127" s="152">
        <f>+'4.Gorcarakan ev tntesagitakan'!I779</f>
        <v>762252.174</v>
      </c>
      <c r="G127" s="152">
        <f>+'4.Gorcarakan ev tntesagitakan'!J779</f>
        <v>282033.30437999999</v>
      </c>
      <c r="H127" s="152">
        <f>+'4.Gorcarakan ev tntesagitakan'!K779</f>
        <v>396371.13047999999</v>
      </c>
      <c r="I127" s="152">
        <f>+'4.Gorcarakan ev tntesagitakan'!L779</f>
        <v>510708.95658</v>
      </c>
      <c r="J127" s="152">
        <f>+'4.Gorcarakan ev tntesagitakan'!M779</f>
        <v>762252.174</v>
      </c>
    </row>
    <row r="128" spans="1:10" ht="40.5" x14ac:dyDescent="0.25">
      <c r="A128" s="145" t="s">
        <v>636</v>
      </c>
      <c r="B128" s="83" t="s">
        <v>742</v>
      </c>
      <c r="C128" s="85"/>
      <c r="D128" s="146">
        <f>SUM(E128:F128)</f>
        <v>33646.9</v>
      </c>
      <c r="E128" s="208">
        <f>32000+926.9+720</f>
        <v>33646.9</v>
      </c>
      <c r="F128" s="146">
        <v>0</v>
      </c>
      <c r="G128" s="146">
        <v>8789.0426877468271</v>
      </c>
      <c r="H128" s="146">
        <v>16727.939525691803</v>
      </c>
      <c r="I128" s="146">
        <v>25187.419762843019</v>
      </c>
      <c r="J128" s="146">
        <f t="shared" ref="J128" si="60">+D128</f>
        <v>33646.9</v>
      </c>
    </row>
    <row r="129" spans="1:9" x14ac:dyDescent="0.25">
      <c r="A129" s="90"/>
      <c r="C129" s="90"/>
      <c r="E129" s="90"/>
      <c r="F129" s="90"/>
      <c r="H129" s="90"/>
      <c r="I129" s="90"/>
    </row>
    <row r="130" spans="1:9" x14ac:dyDescent="0.25">
      <c r="A130" s="90"/>
      <c r="C130" s="90"/>
      <c r="E130" s="90"/>
      <c r="F130" s="90"/>
      <c r="H130" s="90"/>
      <c r="I130" s="90"/>
    </row>
    <row r="131" spans="1:9" x14ac:dyDescent="0.25">
      <c r="A131" s="90"/>
      <c r="C131" s="90"/>
      <c r="E131" s="90"/>
      <c r="F131" s="90"/>
      <c r="H131" s="90"/>
      <c r="I131" s="90"/>
    </row>
    <row r="132" spans="1:9" x14ac:dyDescent="0.25">
      <c r="A132" s="90"/>
      <c r="C132" s="90"/>
      <c r="E132" s="90"/>
      <c r="F132" s="90"/>
      <c r="H132" s="90"/>
      <c r="I132" s="90"/>
    </row>
    <row r="133" spans="1:9" x14ac:dyDescent="0.25">
      <c r="A133" s="90"/>
      <c r="C133" s="90"/>
      <c r="E133" s="90"/>
      <c r="F133" s="90"/>
      <c r="H133" s="90"/>
      <c r="I133" s="90"/>
    </row>
    <row r="134" spans="1:9" x14ac:dyDescent="0.25">
      <c r="A134" s="90"/>
      <c r="C134" s="90"/>
      <c r="E134" s="90"/>
      <c r="F134" s="90"/>
      <c r="H134" s="90"/>
      <c r="I134" s="90"/>
    </row>
    <row r="135" spans="1:9" x14ac:dyDescent="0.25">
      <c r="A135" s="90"/>
      <c r="C135" s="90"/>
      <c r="E135" s="90"/>
      <c r="F135" s="90"/>
      <c r="H135" s="90"/>
      <c r="I135" s="90"/>
    </row>
    <row r="136" spans="1:9" x14ac:dyDescent="0.25">
      <c r="A136" s="90"/>
      <c r="C136" s="90"/>
      <c r="E136" s="90"/>
      <c r="F136" s="90"/>
      <c r="H136" s="90"/>
      <c r="I136" s="90"/>
    </row>
    <row r="137" spans="1:9" x14ac:dyDescent="0.25">
      <c r="A137" s="90"/>
      <c r="C137" s="90"/>
      <c r="E137" s="90"/>
      <c r="F137" s="90"/>
      <c r="H137" s="90"/>
      <c r="I137" s="90"/>
    </row>
    <row r="138" spans="1:9" x14ac:dyDescent="0.25">
      <c r="A138" s="90"/>
      <c r="C138" s="90"/>
      <c r="E138" s="90"/>
      <c r="F138" s="90"/>
      <c r="G138" s="217"/>
      <c r="H138" s="217"/>
      <c r="I138" s="217"/>
    </row>
    <row r="139" spans="1:9" x14ac:dyDescent="0.25">
      <c r="A139" s="90"/>
      <c r="C139" s="90"/>
      <c r="E139" s="90"/>
      <c r="F139" s="90"/>
      <c r="H139" s="90"/>
      <c r="I139" s="90"/>
    </row>
    <row r="140" spans="1:9" x14ac:dyDescent="0.25">
      <c r="A140" s="90"/>
      <c r="C140" s="90"/>
      <c r="E140" s="90"/>
      <c r="F140" s="90"/>
      <c r="H140" s="90"/>
      <c r="I140" s="90"/>
    </row>
    <row r="141" spans="1:9" x14ac:dyDescent="0.25">
      <c r="A141" s="90"/>
      <c r="C141" s="90"/>
      <c r="E141" s="90"/>
      <c r="F141" s="90"/>
      <c r="H141" s="90"/>
      <c r="I141" s="90"/>
    </row>
    <row r="142" spans="1:9" x14ac:dyDescent="0.25">
      <c r="A142" s="90"/>
      <c r="C142" s="90"/>
      <c r="E142" s="90"/>
      <c r="F142" s="90"/>
      <c r="H142" s="90"/>
      <c r="I142" s="90"/>
    </row>
    <row r="143" spans="1:9" x14ac:dyDescent="0.25">
      <c r="A143" s="90"/>
      <c r="C143" s="90"/>
      <c r="E143" s="90"/>
      <c r="F143" s="90"/>
      <c r="H143" s="90"/>
      <c r="I143" s="90"/>
    </row>
    <row r="144" spans="1:9" x14ac:dyDescent="0.25">
      <c r="A144" s="90"/>
      <c r="C144" s="90"/>
      <c r="E144" s="90"/>
      <c r="F144" s="90"/>
      <c r="H144" s="90"/>
      <c r="I144" s="90"/>
    </row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59:J59 G92:J92 G118:J118 G120:J121 G124:J124 G126:J126 G67:J67 G69:J72 G74:J75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</protectedRanges>
  <mergeCells count="14">
    <mergeCell ref="H1:J1"/>
    <mergeCell ref="H2:J2"/>
    <mergeCell ref="H3:J3"/>
    <mergeCell ref="H4:J4"/>
    <mergeCell ref="H5:J5"/>
    <mergeCell ref="H6:J6"/>
    <mergeCell ref="H7:J7"/>
    <mergeCell ref="H8:J8"/>
    <mergeCell ref="C12:C14"/>
    <mergeCell ref="A9:F9"/>
    <mergeCell ref="A10:F10"/>
    <mergeCell ref="G12:J12"/>
    <mergeCell ref="D13:D14"/>
    <mergeCell ref="G13:J13"/>
  </mergeCells>
  <pageMargins left="0.95" right="0.2" top="0.25" bottom="0.25" header="0" footer="0"/>
  <pageSetup paperSize="9" scale="57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5"/>
  <sheetViews>
    <sheetView topLeftCell="A310" workbookViewId="0">
      <selection activeCell="A11" sqref="A11:L11"/>
    </sheetView>
  </sheetViews>
  <sheetFormatPr defaultRowHeight="17.25" x14ac:dyDescent="0.3"/>
  <cols>
    <col min="1" max="1" width="6" style="41" customWidth="1"/>
    <col min="2" max="2" width="5" style="46" customWidth="1"/>
    <col min="3" max="3" width="5.28515625" style="47" customWidth="1"/>
    <col min="4" max="4" width="4.5703125" style="48" customWidth="1"/>
    <col min="5" max="5" width="44.28515625" style="45" customWidth="1"/>
    <col min="6" max="6" width="14.7109375" style="35" customWidth="1"/>
    <col min="7" max="7" width="15.5703125" style="35" customWidth="1"/>
    <col min="8" max="8" width="15.140625" style="35" customWidth="1"/>
    <col min="9" max="12" width="17.140625" style="35" customWidth="1"/>
    <col min="13" max="16384" width="9.140625" style="35"/>
  </cols>
  <sheetData>
    <row r="1" spans="1:12" ht="17.25" customHeight="1" x14ac:dyDescent="0.3">
      <c r="J1" s="240"/>
      <c r="K1" s="240"/>
      <c r="L1" s="240"/>
    </row>
    <row r="2" spans="1:12" s="90" customFormat="1" ht="13.5" customHeight="1" x14ac:dyDescent="0.25">
      <c r="A2" s="92"/>
      <c r="C2" s="92"/>
      <c r="E2" s="92"/>
      <c r="F2" s="92"/>
      <c r="G2" s="18"/>
      <c r="H2" s="18"/>
      <c r="J2" s="227"/>
      <c r="K2" s="227"/>
      <c r="L2" s="227"/>
    </row>
    <row r="3" spans="1:12" s="90" customFormat="1" ht="13.5" customHeight="1" x14ac:dyDescent="0.25">
      <c r="A3" s="92"/>
      <c r="C3" s="92"/>
      <c r="E3" s="92"/>
      <c r="F3" s="92"/>
      <c r="G3" s="18"/>
      <c r="H3" s="18"/>
      <c r="J3" s="227"/>
      <c r="K3" s="227"/>
      <c r="L3" s="227"/>
    </row>
    <row r="4" spans="1:12" s="90" customFormat="1" ht="13.5" customHeight="1" x14ac:dyDescent="0.25">
      <c r="A4" s="92"/>
      <c r="C4" s="92"/>
      <c r="E4" s="92"/>
      <c r="F4" s="92"/>
      <c r="G4" s="18"/>
      <c r="H4" s="18"/>
      <c r="J4" s="227"/>
      <c r="K4" s="227"/>
      <c r="L4" s="227"/>
    </row>
    <row r="5" spans="1:12" s="90" customFormat="1" ht="27" customHeight="1" x14ac:dyDescent="0.25">
      <c r="A5" s="92"/>
      <c r="C5" s="92"/>
      <c r="E5" s="92"/>
      <c r="F5" s="92"/>
      <c r="G5" s="200"/>
      <c r="H5" s="200"/>
      <c r="J5" s="240" t="s">
        <v>867</v>
      </c>
      <c r="K5" s="240"/>
      <c r="L5" s="240"/>
    </row>
    <row r="6" spans="1:12" s="90" customFormat="1" ht="13.5" customHeight="1" x14ac:dyDescent="0.25">
      <c r="A6" s="92"/>
      <c r="C6" s="92"/>
      <c r="E6" s="92"/>
      <c r="F6" s="92"/>
      <c r="G6" s="18"/>
      <c r="H6" s="18"/>
      <c r="J6" s="227" t="s">
        <v>602</v>
      </c>
      <c r="K6" s="227"/>
      <c r="L6" s="227"/>
    </row>
    <row r="7" spans="1:12" s="90" customFormat="1" ht="13.5" customHeight="1" x14ac:dyDescent="0.25">
      <c r="A7" s="92"/>
      <c r="C7" s="92"/>
      <c r="E7" s="92"/>
      <c r="F7" s="92"/>
      <c r="G7" s="18"/>
      <c r="H7" s="18"/>
      <c r="J7" s="227" t="s">
        <v>862</v>
      </c>
      <c r="K7" s="227"/>
      <c r="L7" s="227"/>
    </row>
    <row r="8" spans="1:12" s="90" customFormat="1" ht="13.5" customHeight="1" x14ac:dyDescent="0.25">
      <c r="A8" s="92"/>
      <c r="C8" s="92"/>
      <c r="E8" s="92"/>
      <c r="F8" s="92"/>
      <c r="G8" s="18"/>
      <c r="H8" s="18"/>
      <c r="I8" s="18" t="s">
        <v>863</v>
      </c>
      <c r="J8" s="227" t="s">
        <v>869</v>
      </c>
      <c r="K8" s="227"/>
      <c r="L8" s="227"/>
    </row>
    <row r="9" spans="1:12" s="19" customFormat="1" ht="13.5" x14ac:dyDescent="0.25">
      <c r="A9" s="17"/>
      <c r="B9" s="18"/>
      <c r="C9" s="17"/>
      <c r="E9" s="17"/>
      <c r="F9" s="17"/>
      <c r="J9" s="241"/>
      <c r="K9" s="241"/>
      <c r="L9" s="241"/>
    </row>
    <row r="10" spans="1:12" s="2" customFormat="1" x14ac:dyDescent="0.3">
      <c r="A10" s="244" t="s">
        <v>192</v>
      </c>
      <c r="B10" s="244"/>
      <c r="C10" s="244"/>
      <c r="D10" s="244"/>
      <c r="E10" s="244"/>
      <c r="F10" s="244"/>
      <c r="G10" s="244"/>
      <c r="H10" s="244"/>
      <c r="I10" s="244"/>
      <c r="J10" s="243"/>
      <c r="K10" s="243"/>
      <c r="L10" s="243"/>
    </row>
    <row r="11" spans="1:12" s="2" customFormat="1" ht="31.5" customHeight="1" x14ac:dyDescent="0.25">
      <c r="A11" s="242" t="s">
        <v>17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</row>
    <row r="12" spans="1:12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12" s="22" customFormat="1" x14ac:dyDescent="0.25">
      <c r="A13" s="248"/>
      <c r="B13" s="250"/>
      <c r="C13" s="251"/>
      <c r="D13" s="251"/>
      <c r="E13" s="252"/>
      <c r="F13" s="223" t="s">
        <v>367</v>
      </c>
      <c r="G13" s="245" t="s">
        <v>368</v>
      </c>
      <c r="H13" s="247"/>
      <c r="I13" s="245" t="s">
        <v>369</v>
      </c>
      <c r="J13" s="246"/>
      <c r="K13" s="246"/>
      <c r="L13" s="247"/>
    </row>
    <row r="14" spans="1:12" s="23" customFormat="1" ht="27.75" thickBot="1" x14ac:dyDescent="0.3">
      <c r="A14" s="249"/>
      <c r="B14" s="250"/>
      <c r="C14" s="251"/>
      <c r="D14" s="251"/>
      <c r="E14" s="252"/>
      <c r="F14" s="15" t="s">
        <v>604</v>
      </c>
      <c r="G14" s="16" t="s">
        <v>150</v>
      </c>
      <c r="H14" s="16" t="s">
        <v>151</v>
      </c>
      <c r="I14" s="222" t="s">
        <v>188</v>
      </c>
      <c r="J14" s="223" t="s">
        <v>189</v>
      </c>
      <c r="K14" s="223" t="s">
        <v>190</v>
      </c>
      <c r="L14" s="223" t="s">
        <v>191</v>
      </c>
    </row>
    <row r="15" spans="1:12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12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193</v>
      </c>
      <c r="F16" s="29">
        <f>+F17+F52+F69+F95+F148+F168+F188+F217+F247+F278</f>
        <v>7061362.3551000003</v>
      </c>
      <c r="G16" s="29">
        <f>+G17+G52+G69+G95+G148+G168+G188+G217+G247+G278+G310</f>
        <v>6013610.6690000007</v>
      </c>
      <c r="H16" s="29">
        <f>+H17+H52+H69+H95+H148+H168+H188+H217+H247+H278</f>
        <v>1810003.8600999999</v>
      </c>
      <c r="I16" s="29">
        <f>+I17+I52+I69+I95+I148+I168+I188+I217+I247+I278</f>
        <v>2340167.222740869</v>
      </c>
      <c r="J16" s="29">
        <f>+J17+J52+J69+J95+J148+J168+J188+J217+J247+J278</f>
        <v>3713677.8601886905</v>
      </c>
      <c r="K16" s="29">
        <f>+K17+K52+K69+K95+K148+K168+K188+K217+K247+K278</f>
        <v>5523869.8522452153</v>
      </c>
      <c r="L16" s="29">
        <f>+L17+L52+L69+L95+L148+L168+L188+L217+L247+L278</f>
        <v>7061362.3551000003</v>
      </c>
    </row>
    <row r="17" spans="1:12" s="34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194</v>
      </c>
      <c r="F17" s="29">
        <f>+F19+F24+F28+F33+F36+F39+F42+F45</f>
        <v>1183585.659</v>
      </c>
      <c r="G17" s="29">
        <f t="shared" ref="G17:L17" si="0">+G19+G24+G28+G33+G36+G39+G42+G45</f>
        <v>1125177.2290000001</v>
      </c>
      <c r="H17" s="29">
        <f t="shared" si="0"/>
        <v>58408.43</v>
      </c>
      <c r="I17" s="29">
        <f t="shared" si="0"/>
        <v>334176.33785375505</v>
      </c>
      <c r="J17" s="29">
        <f t="shared" si="0"/>
        <v>645424.56216205552</v>
      </c>
      <c r="K17" s="29">
        <f t="shared" si="0"/>
        <v>910312.83968181792</v>
      </c>
      <c r="L17" s="29">
        <f t="shared" si="0"/>
        <v>1183585.659</v>
      </c>
    </row>
    <row r="18" spans="1:12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12" s="37" customFormat="1" ht="54" x14ac:dyDescent="0.3">
      <c r="A19" s="36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901950.65899999999</v>
      </c>
      <c r="G19" s="29">
        <f>+'4.Gorcarakan ev tntesagitakan'!H18</f>
        <v>859042.22900000005</v>
      </c>
      <c r="H19" s="29">
        <f>+'4.Gorcarakan ev tntesagitakan'!I18</f>
        <v>42908.43</v>
      </c>
      <c r="I19" s="29">
        <f>+'4.Gorcarakan ev tntesagitakan'!J18</f>
        <v>252875.32994861665</v>
      </c>
      <c r="J19" s="29">
        <f>+'4.Gorcarakan ev tntesagitakan'!K18</f>
        <v>490902.21038339939</v>
      </c>
      <c r="K19" s="29">
        <f>+'4.Gorcarakan ev tntesagitakan'!L18</f>
        <v>699369.53928656096</v>
      </c>
      <c r="L19" s="29">
        <f>+'4.Gorcarakan ev tntesagitakan'!M18</f>
        <v>901950.65899999999</v>
      </c>
    </row>
    <row r="20" spans="1:12" s="37" customFormat="1" x14ac:dyDescent="0.3">
      <c r="A20" s="36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12" ht="27" x14ac:dyDescent="0.3">
      <c r="A21" s="36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901950.65899999999</v>
      </c>
      <c r="G21" s="29">
        <f>+'4.Gorcarakan ev tntesagitakan'!H20</f>
        <v>859042.22900000005</v>
      </c>
      <c r="H21" s="29">
        <f>+'4.Gorcarakan ev tntesagitakan'!I20</f>
        <v>42908.43</v>
      </c>
      <c r="I21" s="29">
        <f>+'4.Gorcarakan ev tntesagitakan'!J20</f>
        <v>252875.32994861665</v>
      </c>
      <c r="J21" s="29">
        <f>+'4.Gorcarakan ev tntesagitakan'!K20</f>
        <v>490902.21038339939</v>
      </c>
      <c r="K21" s="29">
        <f>+'4.Gorcarakan ev tntesagitakan'!L20</f>
        <v>699369.53928656096</v>
      </c>
      <c r="L21" s="29">
        <f>+'4.Gorcarakan ev tntesagitakan'!M20</f>
        <v>901950.65899999999</v>
      </c>
    </row>
    <row r="22" spans="1:12" ht="27" x14ac:dyDescent="0.3">
      <c r="A22" s="36">
        <v>2112</v>
      </c>
      <c r="B22" s="32" t="s">
        <v>2</v>
      </c>
      <c r="C22" s="32" t="s">
        <v>4</v>
      </c>
      <c r="D22" s="32" t="s">
        <v>5</v>
      </c>
      <c r="E22" s="5" t="s">
        <v>176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12" x14ac:dyDescent="0.3">
      <c r="A23" s="36">
        <v>2113</v>
      </c>
      <c r="B23" s="32" t="s">
        <v>2</v>
      </c>
      <c r="C23" s="32" t="s">
        <v>4</v>
      </c>
      <c r="D23" s="32" t="s">
        <v>6</v>
      </c>
      <c r="E23" s="5" t="s">
        <v>183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12" x14ac:dyDescent="0.3">
      <c r="A24" s="36">
        <v>2120</v>
      </c>
      <c r="B24" s="32" t="s">
        <v>2</v>
      </c>
      <c r="C24" s="32" t="s">
        <v>5</v>
      </c>
      <c r="D24" s="32" t="s">
        <v>3</v>
      </c>
      <c r="E24" s="5" t="s">
        <v>184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12" s="37" customFormat="1" x14ac:dyDescent="0.3">
      <c r="A25" s="36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12" x14ac:dyDescent="0.3">
      <c r="A26" s="36">
        <v>2121</v>
      </c>
      <c r="B26" s="32" t="s">
        <v>2</v>
      </c>
      <c r="C26" s="32" t="s">
        <v>5</v>
      </c>
      <c r="D26" s="32" t="s">
        <v>4</v>
      </c>
      <c r="E26" s="5" t="s">
        <v>179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12" ht="27" x14ac:dyDescent="0.3">
      <c r="A27" s="36">
        <v>2122</v>
      </c>
      <c r="B27" s="32" t="s">
        <v>2</v>
      </c>
      <c r="C27" s="32" t="s">
        <v>5</v>
      </c>
      <c r="D27" s="32" t="s">
        <v>5</v>
      </c>
      <c r="E27" s="5" t="s">
        <v>180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12" x14ac:dyDescent="0.3">
      <c r="A28" s="36">
        <v>2130</v>
      </c>
      <c r="B28" s="32" t="s">
        <v>2</v>
      </c>
      <c r="C28" s="32" t="s">
        <v>6</v>
      </c>
      <c r="D28" s="32" t="s">
        <v>3</v>
      </c>
      <c r="E28" s="5" t="s">
        <v>195</v>
      </c>
      <c r="F28" s="29">
        <f>+'4.Gorcarakan ev tntesagitakan'!G68</f>
        <v>0</v>
      </c>
      <c r="G28" s="29">
        <f>+'4.Gorcarakan ev tntesagitakan'!H68</f>
        <v>0</v>
      </c>
      <c r="H28" s="29"/>
      <c r="I28" s="29">
        <f>+'4.Gorcarakan ev tntesagitakan'!J66</f>
        <v>0</v>
      </c>
      <c r="J28" s="29">
        <f>+'4.Gorcarakan ev tntesagitakan'!K66</f>
        <v>0</v>
      </c>
      <c r="K28" s="29">
        <f>+'4.Gorcarakan ev tntesagitakan'!L66</f>
        <v>0</v>
      </c>
      <c r="L28" s="29">
        <f>+'4.Gorcarakan ev tntesagitakan'!M66</f>
        <v>0</v>
      </c>
    </row>
    <row r="29" spans="1:12" s="37" customFormat="1" x14ac:dyDescent="0.3">
      <c r="A29" s="36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12" ht="27" x14ac:dyDescent="0.3">
      <c r="A30" s="36">
        <v>2131</v>
      </c>
      <c r="B30" s="32" t="s">
        <v>2</v>
      </c>
      <c r="C30" s="32" t="s">
        <v>6</v>
      </c>
      <c r="D30" s="32" t="s">
        <v>4</v>
      </c>
      <c r="E30" s="5" t="s">
        <v>196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12" ht="27" x14ac:dyDescent="0.3">
      <c r="A31" s="36">
        <v>2132</v>
      </c>
      <c r="B31" s="32" t="s">
        <v>2</v>
      </c>
      <c r="C31" s="32">
        <v>3</v>
      </c>
      <c r="D31" s="32">
        <v>2</v>
      </c>
      <c r="E31" s="5" t="s">
        <v>197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12" x14ac:dyDescent="0.3">
      <c r="A32" s="36">
        <v>2133</v>
      </c>
      <c r="B32" s="32" t="s">
        <v>2</v>
      </c>
      <c r="C32" s="32">
        <v>3</v>
      </c>
      <c r="D32" s="32">
        <v>3</v>
      </c>
      <c r="E32" s="5" t="s">
        <v>198</v>
      </c>
      <c r="F32" s="29">
        <f>+'4.Gorcarakan ev tntesagitakan'!G78</f>
        <v>0</v>
      </c>
      <c r="G32" s="29">
        <f>+'4.Gorcarakan ev tntesagitakan'!H78</f>
        <v>0</v>
      </c>
      <c r="H32" s="29"/>
      <c r="I32" s="29">
        <f>+'4.Gorcarakan ev tntesagitakan'!J78</f>
        <v>0</v>
      </c>
      <c r="J32" s="29">
        <f>+'4.Gorcarakan ev tntesagitakan'!K78</f>
        <v>0</v>
      </c>
      <c r="K32" s="29">
        <f>+'4.Gorcarakan ev tntesagitakan'!L78</f>
        <v>0</v>
      </c>
      <c r="L32" s="29">
        <f>+'4.Gorcarakan ev tntesagitakan'!M78</f>
        <v>0</v>
      </c>
    </row>
    <row r="33" spans="1:12" x14ac:dyDescent="0.3">
      <c r="A33" s="36">
        <v>2140</v>
      </c>
      <c r="B33" s="32" t="s">
        <v>2</v>
      </c>
      <c r="C33" s="32">
        <v>4</v>
      </c>
      <c r="D33" s="32">
        <v>0</v>
      </c>
      <c r="E33" s="5" t="s">
        <v>199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7" customFormat="1" x14ac:dyDescent="0.3">
      <c r="A34" s="36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6">
        <v>2141</v>
      </c>
      <c r="B35" s="32" t="s">
        <v>2</v>
      </c>
      <c r="C35" s="32">
        <v>4</v>
      </c>
      <c r="D35" s="32">
        <v>1</v>
      </c>
      <c r="E35" s="5" t="s">
        <v>200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6">
        <v>2150</v>
      </c>
      <c r="B36" s="32" t="s">
        <v>2</v>
      </c>
      <c r="C36" s="32">
        <v>5</v>
      </c>
      <c r="D36" s="32">
        <v>0</v>
      </c>
      <c r="E36" s="5" t="s">
        <v>201</v>
      </c>
      <c r="F36" s="29">
        <f>+'4.Gorcarakan ev tntesagitakan'!G94</f>
        <v>23500</v>
      </c>
      <c r="G36" s="29">
        <f>+'4.Gorcarakan ev tntesagitakan'!H94</f>
        <v>8000</v>
      </c>
      <c r="H36" s="29">
        <f>+'4.Gorcarakan ev tntesagitakan'!I94</f>
        <v>15500</v>
      </c>
      <c r="I36" s="29">
        <f>+'4.Gorcarakan ev tntesagitakan'!J94</f>
        <v>5758.893280632411</v>
      </c>
      <c r="J36" s="29">
        <f>+'4.Gorcarakan ev tntesagitakan'!K94</f>
        <v>11424.90118577075</v>
      </c>
      <c r="K36" s="29">
        <f>+'4.Gorcarakan ev tntesagitakan'!L94</f>
        <v>17462.450592885376</v>
      </c>
      <c r="L36" s="29">
        <f>+'4.Gorcarakan ev tntesagitakan'!M94</f>
        <v>23500</v>
      </c>
    </row>
    <row r="37" spans="1:12" s="37" customFormat="1" x14ac:dyDescent="0.3">
      <c r="A37" s="36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6">
        <v>2151</v>
      </c>
      <c r="B38" s="32" t="s">
        <v>2</v>
      </c>
      <c r="C38" s="32">
        <v>5</v>
      </c>
      <c r="D38" s="32">
        <v>1</v>
      </c>
      <c r="E38" s="5" t="s">
        <v>202</v>
      </c>
      <c r="F38" s="29">
        <f>+'4.Gorcarakan ev tntesagitakan'!G96</f>
        <v>23500</v>
      </c>
      <c r="G38" s="29">
        <f>+'4.Gorcarakan ev tntesagitakan'!H96</f>
        <v>8000</v>
      </c>
      <c r="H38" s="29">
        <f>+'4.Gorcarakan ev tntesagitakan'!I96</f>
        <v>15500</v>
      </c>
      <c r="I38" s="29">
        <f>+'4.Gorcarakan ev tntesagitakan'!J96</f>
        <v>5758.893280632411</v>
      </c>
      <c r="J38" s="29">
        <f>+'4.Gorcarakan ev tntesagitakan'!K96</f>
        <v>11424.90118577075</v>
      </c>
      <c r="K38" s="29">
        <f>+'4.Gorcarakan ev tntesagitakan'!L96</f>
        <v>17462.450592885376</v>
      </c>
      <c r="L38" s="29">
        <f>+'4.Gorcarakan ev tntesagitakan'!M96</f>
        <v>23500</v>
      </c>
    </row>
    <row r="39" spans="1:12" ht="27" x14ac:dyDescent="0.3">
      <c r="A39" s="36">
        <v>2160</v>
      </c>
      <c r="B39" s="32" t="s">
        <v>2</v>
      </c>
      <c r="C39" s="32">
        <v>6</v>
      </c>
      <c r="D39" s="32">
        <v>0</v>
      </c>
      <c r="E39" s="5" t="s">
        <v>203</v>
      </c>
      <c r="F39" s="29">
        <f>+'4.Gorcarakan ev tntesagitakan'!G101</f>
        <v>258135</v>
      </c>
      <c r="G39" s="29">
        <f>+'4.Gorcarakan ev tntesagitakan'!H101</f>
        <v>258135</v>
      </c>
      <c r="H39" s="29"/>
      <c r="I39" s="29">
        <f>+'4.Gorcarakan ev tntesagitakan'!J101</f>
        <v>75542.114624505979</v>
      </c>
      <c r="J39" s="29">
        <f>+'4.Gorcarakan ev tntesagitakan'!K101</f>
        <v>143097.45059288541</v>
      </c>
      <c r="K39" s="29">
        <f>+'4.Gorcarakan ev tntesagitakan'!L101</f>
        <v>193480.84980237152</v>
      </c>
      <c r="L39" s="29">
        <f>+'4.Gorcarakan ev tntesagitakan'!M101</f>
        <v>258135</v>
      </c>
    </row>
    <row r="40" spans="1:12" s="37" customFormat="1" x14ac:dyDescent="0.3">
      <c r="A40" s="36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6">
        <v>2161</v>
      </c>
      <c r="B41" s="32" t="s">
        <v>2</v>
      </c>
      <c r="C41" s="32">
        <v>6</v>
      </c>
      <c r="D41" s="32">
        <v>1</v>
      </c>
      <c r="E41" s="5" t="s">
        <v>204</v>
      </c>
      <c r="F41" s="29">
        <f>+'4.Gorcarakan ev tntesagitakan'!G103</f>
        <v>258135</v>
      </c>
      <c r="G41" s="29">
        <f>+'4.Gorcarakan ev tntesagitakan'!H103</f>
        <v>258135</v>
      </c>
      <c r="H41" s="29"/>
      <c r="I41" s="29">
        <f>+'4.Gorcarakan ev tntesagitakan'!J103</f>
        <v>75542.114624505979</v>
      </c>
      <c r="J41" s="29">
        <f>+'4.Gorcarakan ev tntesagitakan'!K103</f>
        <v>143097.45059288541</v>
      </c>
      <c r="K41" s="29">
        <f>+'4.Gorcarakan ev tntesagitakan'!L103</f>
        <v>193480.84980237152</v>
      </c>
      <c r="L41" s="29">
        <v>10500</v>
      </c>
    </row>
    <row r="42" spans="1:12" x14ac:dyDescent="0.3">
      <c r="A42" s="36">
        <v>2170</v>
      </c>
      <c r="B42" s="32" t="s">
        <v>2</v>
      </c>
      <c r="C42" s="32">
        <v>7</v>
      </c>
      <c r="D42" s="32">
        <v>0</v>
      </c>
      <c r="E42" s="5" t="s">
        <v>205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7" customFormat="1" x14ac:dyDescent="0.3">
      <c r="A43" s="36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6">
        <v>2171</v>
      </c>
      <c r="B44" s="32" t="s">
        <v>2</v>
      </c>
      <c r="C44" s="32">
        <v>7</v>
      </c>
      <c r="D44" s="32">
        <v>1</v>
      </c>
      <c r="E44" s="5" t="s">
        <v>205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6">
        <v>2180</v>
      </c>
      <c r="B45" s="32" t="s">
        <v>2</v>
      </c>
      <c r="C45" s="32">
        <v>8</v>
      </c>
      <c r="D45" s="32">
        <v>0</v>
      </c>
      <c r="E45" s="5" t="s">
        <v>206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7" customFormat="1" x14ac:dyDescent="0.3">
      <c r="A46" s="36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6">
        <v>2181</v>
      </c>
      <c r="B47" s="32" t="s">
        <v>2</v>
      </c>
      <c r="C47" s="32">
        <v>8</v>
      </c>
      <c r="D47" s="32">
        <v>1</v>
      </c>
      <c r="E47" s="5" t="s">
        <v>206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6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6">
        <v>2182</v>
      </c>
      <c r="B49" s="32" t="s">
        <v>2</v>
      </c>
      <c r="C49" s="32">
        <v>8</v>
      </c>
      <c r="D49" s="32">
        <v>1</v>
      </c>
      <c r="E49" s="5" t="s">
        <v>207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6">
        <v>2183</v>
      </c>
      <c r="B50" s="32" t="s">
        <v>2</v>
      </c>
      <c r="C50" s="32">
        <v>8</v>
      </c>
      <c r="D50" s="32">
        <v>1</v>
      </c>
      <c r="E50" s="5" t="s">
        <v>208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6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4" customFormat="1" ht="49.5" x14ac:dyDescent="0.25">
      <c r="A52" s="36">
        <v>2200</v>
      </c>
      <c r="B52" s="32" t="s">
        <v>7</v>
      </c>
      <c r="C52" s="32">
        <v>0</v>
      </c>
      <c r="D52" s="32">
        <v>0</v>
      </c>
      <c r="E52" s="4" t="s">
        <v>209</v>
      </c>
      <c r="F52" s="29">
        <f>+F54+F57+F60+F63+F66</f>
        <v>2400</v>
      </c>
      <c r="G52" s="29">
        <f t="shared" ref="G52:L52" si="1">+G54+G57+G60+G63+G66</f>
        <v>2400</v>
      </c>
      <c r="H52" s="29">
        <f t="shared" si="1"/>
        <v>0</v>
      </c>
      <c r="I52" s="29">
        <f t="shared" si="1"/>
        <v>588.14229249011862</v>
      </c>
      <c r="J52" s="29">
        <f t="shared" si="1"/>
        <v>1166.798418972332</v>
      </c>
      <c r="K52" s="29">
        <f t="shared" si="1"/>
        <v>1783.399209486166</v>
      </c>
      <c r="L52" s="29">
        <f t="shared" si="1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6">
        <v>2210</v>
      </c>
      <c r="B54" s="32" t="s">
        <v>7</v>
      </c>
      <c r="C54" s="32">
        <v>1</v>
      </c>
      <c r="D54" s="32">
        <v>0</v>
      </c>
      <c r="E54" s="5" t="s">
        <v>210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7" customFormat="1" x14ac:dyDescent="0.3">
      <c r="A55" s="36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6">
        <v>2211</v>
      </c>
      <c r="B56" s="32" t="s">
        <v>7</v>
      </c>
      <c r="C56" s="32">
        <v>1</v>
      </c>
      <c r="D56" s="32">
        <v>1</v>
      </c>
      <c r="E56" s="5" t="s">
        <v>211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6">
        <v>2220</v>
      </c>
      <c r="B57" s="32" t="s">
        <v>7</v>
      </c>
      <c r="C57" s="32">
        <v>2</v>
      </c>
      <c r="D57" s="32">
        <v>0</v>
      </c>
      <c r="E57" s="5" t="s">
        <v>212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7" customFormat="1" x14ac:dyDescent="0.3">
      <c r="A58" s="36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6">
        <v>2221</v>
      </c>
      <c r="B59" s="32" t="s">
        <v>7</v>
      </c>
      <c r="C59" s="32">
        <v>2</v>
      </c>
      <c r="D59" s="32">
        <v>1</v>
      </c>
      <c r="E59" s="5" t="s">
        <v>213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6">
        <v>2230</v>
      </c>
      <c r="B60" s="32" t="s">
        <v>7</v>
      </c>
      <c r="C60" s="32">
        <v>3</v>
      </c>
      <c r="D60" s="32">
        <v>0</v>
      </c>
      <c r="E60" s="5" t="s">
        <v>214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7" customFormat="1" x14ac:dyDescent="0.3">
      <c r="A61" s="36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6">
        <v>2231</v>
      </c>
      <c r="B62" s="32" t="s">
        <v>7</v>
      </c>
      <c r="C62" s="32">
        <v>3</v>
      </c>
      <c r="D62" s="32">
        <v>1</v>
      </c>
      <c r="E62" s="5" t="s">
        <v>215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6">
        <v>2240</v>
      </c>
      <c r="B63" s="32" t="s">
        <v>7</v>
      </c>
      <c r="C63" s="32">
        <v>4</v>
      </c>
      <c r="D63" s="32">
        <v>0</v>
      </c>
      <c r="E63" s="5" t="s">
        <v>216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7" customFormat="1" x14ac:dyDescent="0.3">
      <c r="A64" s="36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6">
        <v>2241</v>
      </c>
      <c r="B65" s="32" t="s">
        <v>7</v>
      </c>
      <c r="C65" s="32">
        <v>4</v>
      </c>
      <c r="D65" s="32">
        <v>1</v>
      </c>
      <c r="E65" s="5" t="s">
        <v>216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6">
        <v>2250</v>
      </c>
      <c r="B66" s="32" t="s">
        <v>7</v>
      </c>
      <c r="C66" s="32">
        <v>5</v>
      </c>
      <c r="D66" s="32">
        <v>0</v>
      </c>
      <c r="E66" s="5" t="s">
        <v>217</v>
      </c>
      <c r="F66" s="29">
        <f>+F68</f>
        <v>2400</v>
      </c>
      <c r="G66" s="29">
        <f t="shared" ref="G66:L66" si="2">+G68</f>
        <v>2400</v>
      </c>
      <c r="H66" s="29">
        <f t="shared" si="2"/>
        <v>0</v>
      </c>
      <c r="I66" s="29">
        <f t="shared" si="2"/>
        <v>588.14229249011862</v>
      </c>
      <c r="J66" s="29">
        <f t="shared" si="2"/>
        <v>1166.798418972332</v>
      </c>
      <c r="K66" s="29">
        <f t="shared" si="2"/>
        <v>1783.399209486166</v>
      </c>
      <c r="L66" s="29">
        <f t="shared" si="2"/>
        <v>2400</v>
      </c>
    </row>
    <row r="67" spans="1:12" s="37" customFormat="1" x14ac:dyDescent="0.3">
      <c r="A67" s="36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6">
        <v>2251</v>
      </c>
      <c r="B68" s="32" t="s">
        <v>7</v>
      </c>
      <c r="C68" s="32">
        <v>5</v>
      </c>
      <c r="D68" s="32">
        <v>1</v>
      </c>
      <c r="E68" s="5" t="s">
        <v>217</v>
      </c>
      <c r="F68" s="29">
        <f>+'4.Gorcarakan ev tntesagitakan'!G156</f>
        <v>2400</v>
      </c>
      <c r="G68" s="29">
        <f>+'4.Gorcarakan ev tntesagitakan'!H156</f>
        <v>2400</v>
      </c>
      <c r="H68" s="29">
        <f>+'4.Gorcarakan ev tntesagitakan'!I156</f>
        <v>0</v>
      </c>
      <c r="I68" s="29">
        <f>+'4.Gorcarakan ev tntesagitakan'!J156</f>
        <v>588.14229249011862</v>
      </c>
      <c r="J68" s="29">
        <f>+'4.Gorcarakan ev tntesagitakan'!K156</f>
        <v>1166.798418972332</v>
      </c>
      <c r="K68" s="29">
        <f>+'4.Gorcarakan ev tntesagitakan'!L156</f>
        <v>1783.399209486166</v>
      </c>
      <c r="L68" s="29">
        <f>+'4.Gorcarakan ev tntesagitakan'!M156</f>
        <v>2400</v>
      </c>
    </row>
    <row r="69" spans="1:12" s="34" customFormat="1" ht="54" x14ac:dyDescent="0.25">
      <c r="A69" s="36">
        <v>2300</v>
      </c>
      <c r="B69" s="32" t="s">
        <v>8</v>
      </c>
      <c r="C69" s="32">
        <v>0</v>
      </c>
      <c r="D69" s="32">
        <v>0</v>
      </c>
      <c r="E69" s="5" t="s">
        <v>218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6">
        <v>2310</v>
      </c>
      <c r="B71" s="32" t="s">
        <v>8</v>
      </c>
      <c r="C71" s="32">
        <v>1</v>
      </c>
      <c r="D71" s="32">
        <v>0</v>
      </c>
      <c r="E71" s="5" t="s">
        <v>219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7" customFormat="1" x14ac:dyDescent="0.3">
      <c r="A72" s="36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6">
        <v>2311</v>
      </c>
      <c r="B73" s="32" t="s">
        <v>8</v>
      </c>
      <c r="C73" s="32">
        <v>1</v>
      </c>
      <c r="D73" s="32">
        <v>1</v>
      </c>
      <c r="E73" s="5" t="s">
        <v>220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6">
        <v>2312</v>
      </c>
      <c r="B74" s="32" t="s">
        <v>8</v>
      </c>
      <c r="C74" s="32">
        <v>1</v>
      </c>
      <c r="D74" s="32">
        <v>2</v>
      </c>
      <c r="E74" s="5" t="s">
        <v>221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6">
        <v>2313</v>
      </c>
      <c r="B75" s="32" t="s">
        <v>8</v>
      </c>
      <c r="C75" s="32">
        <v>1</v>
      </c>
      <c r="D75" s="32">
        <v>3</v>
      </c>
      <c r="E75" s="5" t="s">
        <v>222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6">
        <v>2320</v>
      </c>
      <c r="B76" s="32" t="s">
        <v>8</v>
      </c>
      <c r="C76" s="32">
        <v>2</v>
      </c>
      <c r="D76" s="32">
        <v>0</v>
      </c>
      <c r="E76" s="5" t="s">
        <v>223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7" customFormat="1" x14ac:dyDescent="0.3">
      <c r="A77" s="36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6">
        <v>2321</v>
      </c>
      <c r="B78" s="32" t="s">
        <v>8</v>
      </c>
      <c r="C78" s="32">
        <v>2</v>
      </c>
      <c r="D78" s="32">
        <v>1</v>
      </c>
      <c r="E78" s="5" t="s">
        <v>224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6">
        <v>2330</v>
      </c>
      <c r="B79" s="32" t="s">
        <v>8</v>
      </c>
      <c r="C79" s="32">
        <v>3</v>
      </c>
      <c r="D79" s="32">
        <v>0</v>
      </c>
      <c r="E79" s="5" t="s">
        <v>225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7" customFormat="1" x14ac:dyDescent="0.3">
      <c r="A80" s="36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6">
        <v>2331</v>
      </c>
      <c r="B81" s="32" t="s">
        <v>8</v>
      </c>
      <c r="C81" s="32">
        <v>3</v>
      </c>
      <c r="D81" s="32">
        <v>1</v>
      </c>
      <c r="E81" s="5" t="s">
        <v>226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6">
        <v>2332</v>
      </c>
      <c r="B82" s="32" t="s">
        <v>8</v>
      </c>
      <c r="C82" s="32">
        <v>3</v>
      </c>
      <c r="D82" s="32">
        <v>2</v>
      </c>
      <c r="E82" s="5" t="s">
        <v>227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6">
        <v>2340</v>
      </c>
      <c r="B83" s="32" t="s">
        <v>8</v>
      </c>
      <c r="C83" s="32">
        <v>4</v>
      </c>
      <c r="D83" s="32">
        <v>0</v>
      </c>
      <c r="E83" s="5" t="s">
        <v>228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7" customFormat="1" x14ac:dyDescent="0.3">
      <c r="A84" s="36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6">
        <v>2341</v>
      </c>
      <c r="B85" s="32" t="s">
        <v>8</v>
      </c>
      <c r="C85" s="32">
        <v>4</v>
      </c>
      <c r="D85" s="32">
        <v>1</v>
      </c>
      <c r="E85" s="5" t="s">
        <v>228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6">
        <v>2350</v>
      </c>
      <c r="B86" s="32" t="s">
        <v>8</v>
      </c>
      <c r="C86" s="32">
        <v>5</v>
      </c>
      <c r="D86" s="32">
        <v>0</v>
      </c>
      <c r="E86" s="5" t="s">
        <v>229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7" customFormat="1" x14ac:dyDescent="0.3">
      <c r="A87" s="36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6">
        <v>2351</v>
      </c>
      <c r="B88" s="32" t="s">
        <v>8</v>
      </c>
      <c r="C88" s="32">
        <v>5</v>
      </c>
      <c r="D88" s="32">
        <v>1</v>
      </c>
      <c r="E88" s="5" t="s">
        <v>230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6">
        <v>2360</v>
      </c>
      <c r="B89" s="32" t="s">
        <v>8</v>
      </c>
      <c r="C89" s="32">
        <v>6</v>
      </c>
      <c r="D89" s="32">
        <v>0</v>
      </c>
      <c r="E89" s="5" t="s">
        <v>231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7" customFormat="1" x14ac:dyDescent="0.3">
      <c r="A90" s="36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6">
        <v>2361</v>
      </c>
      <c r="B91" s="32" t="s">
        <v>8</v>
      </c>
      <c r="C91" s="32">
        <v>6</v>
      </c>
      <c r="D91" s="32">
        <v>1</v>
      </c>
      <c r="E91" s="5" t="s">
        <v>231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6">
        <v>2370</v>
      </c>
      <c r="B92" s="32" t="s">
        <v>8</v>
      </c>
      <c r="C92" s="32">
        <v>7</v>
      </c>
      <c r="D92" s="32">
        <v>0</v>
      </c>
      <c r="E92" s="5" t="s">
        <v>232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7" customFormat="1" x14ac:dyDescent="0.3">
      <c r="A93" s="36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6">
        <v>2371</v>
      </c>
      <c r="B94" s="32" t="s">
        <v>8</v>
      </c>
      <c r="C94" s="32">
        <v>7</v>
      </c>
      <c r="D94" s="32">
        <v>1</v>
      </c>
      <c r="E94" s="5" t="s">
        <v>233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4" customFormat="1" ht="40.5" x14ac:dyDescent="0.25">
      <c r="A95" s="36">
        <v>2400</v>
      </c>
      <c r="B95" s="32" t="s">
        <v>9</v>
      </c>
      <c r="C95" s="32">
        <v>0</v>
      </c>
      <c r="D95" s="32">
        <v>0</v>
      </c>
      <c r="E95" s="5" t="s">
        <v>234</v>
      </c>
      <c r="F95" s="29">
        <f>+F97+F101+F107+F115+F120+F127+F130+F136+F145</f>
        <v>939569.18400000036</v>
      </c>
      <c r="G95" s="29">
        <f t="shared" ref="G95:L95" si="3">+G97+G101+G107+G115+G120+G127+G130+G136+G145</f>
        <v>302360</v>
      </c>
      <c r="H95" s="29">
        <f t="shared" si="3"/>
        <v>637209.18400000036</v>
      </c>
      <c r="I95" s="29">
        <f t="shared" si="3"/>
        <v>789560.90787011851</v>
      </c>
      <c r="J95" s="29">
        <f t="shared" si="3"/>
        <v>794388.96968948143</v>
      </c>
      <c r="K95" s="29">
        <f t="shared" si="3"/>
        <v>789656.51952466159</v>
      </c>
      <c r="L95" s="29">
        <f t="shared" si="3"/>
        <v>939569.18400000036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6">
        <v>2410</v>
      </c>
      <c r="B97" s="32" t="s">
        <v>9</v>
      </c>
      <c r="C97" s="32">
        <v>1</v>
      </c>
      <c r="D97" s="32">
        <v>0</v>
      </c>
      <c r="E97" s="5" t="s">
        <v>235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7" customFormat="1" x14ac:dyDescent="0.3">
      <c r="A98" s="36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6">
        <v>2411</v>
      </c>
      <c r="B99" s="32" t="s">
        <v>9</v>
      </c>
      <c r="C99" s="32">
        <v>1</v>
      </c>
      <c r="D99" s="32">
        <v>1</v>
      </c>
      <c r="E99" s="5" t="s">
        <v>236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6">
        <v>2412</v>
      </c>
      <c r="B100" s="32" t="s">
        <v>9</v>
      </c>
      <c r="C100" s="32">
        <v>1</v>
      </c>
      <c r="D100" s="32">
        <v>2</v>
      </c>
      <c r="E100" s="5" t="s">
        <v>237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6">
        <v>2420</v>
      </c>
      <c r="B101" s="32" t="s">
        <v>9</v>
      </c>
      <c r="C101" s="32">
        <v>2</v>
      </c>
      <c r="D101" s="32">
        <v>0</v>
      </c>
      <c r="E101" s="5" t="s">
        <v>238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7" customFormat="1" x14ac:dyDescent="0.3">
      <c r="A102" s="36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6">
        <v>2421</v>
      </c>
      <c r="B103" s="32" t="s">
        <v>9</v>
      </c>
      <c r="C103" s="32">
        <v>2</v>
      </c>
      <c r="D103" s="32">
        <v>1</v>
      </c>
      <c r="E103" s="5" t="s">
        <v>239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6">
        <v>2422</v>
      </c>
      <c r="B104" s="32" t="s">
        <v>9</v>
      </c>
      <c r="C104" s="32">
        <v>2</v>
      </c>
      <c r="D104" s="32">
        <v>2</v>
      </c>
      <c r="E104" s="5" t="s">
        <v>240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6">
        <v>2423</v>
      </c>
      <c r="B105" s="32" t="s">
        <v>9</v>
      </c>
      <c r="C105" s="32">
        <v>2</v>
      </c>
      <c r="D105" s="32">
        <v>3</v>
      </c>
      <c r="E105" s="5" t="s">
        <v>241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6">
        <v>2424</v>
      </c>
      <c r="B106" s="32" t="s">
        <v>9</v>
      </c>
      <c r="C106" s="32">
        <v>2</v>
      </c>
      <c r="D106" s="32">
        <v>4</v>
      </c>
      <c r="E106" s="5" t="s">
        <v>242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6">
        <v>2430</v>
      </c>
      <c r="B107" s="32" t="s">
        <v>9</v>
      </c>
      <c r="C107" s="32">
        <v>3</v>
      </c>
      <c r="D107" s="32">
        <v>0</v>
      </c>
      <c r="E107" s="5" t="s">
        <v>243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7" customFormat="1" x14ac:dyDescent="0.3">
      <c r="A108" s="36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6">
        <v>2431</v>
      </c>
      <c r="B109" s="32" t="s">
        <v>9</v>
      </c>
      <c r="C109" s="32">
        <v>3</v>
      </c>
      <c r="D109" s="32">
        <v>1</v>
      </c>
      <c r="E109" s="5" t="s">
        <v>244</v>
      </c>
      <c r="F109" s="29">
        <f t="shared" ref="F109:F114" si="4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6">
        <v>2432</v>
      </c>
      <c r="B110" s="32" t="s">
        <v>9</v>
      </c>
      <c r="C110" s="32">
        <v>3</v>
      </c>
      <c r="D110" s="32">
        <v>2</v>
      </c>
      <c r="E110" s="5" t="s">
        <v>245</v>
      </c>
      <c r="F110" s="29">
        <f t="shared" si="4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6">
        <v>2433</v>
      </c>
      <c r="B111" s="32" t="s">
        <v>9</v>
      </c>
      <c r="C111" s="32">
        <v>3</v>
      </c>
      <c r="D111" s="32">
        <v>3</v>
      </c>
      <c r="E111" s="5" t="s">
        <v>246</v>
      </c>
      <c r="F111" s="29">
        <f t="shared" si="4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6">
        <v>2434</v>
      </c>
      <c r="B112" s="32" t="s">
        <v>9</v>
      </c>
      <c r="C112" s="32">
        <v>3</v>
      </c>
      <c r="D112" s="32">
        <v>4</v>
      </c>
      <c r="E112" s="5" t="s">
        <v>247</v>
      </c>
      <c r="F112" s="29">
        <f t="shared" si="4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6">
        <v>2435</v>
      </c>
      <c r="B113" s="32" t="s">
        <v>9</v>
      </c>
      <c r="C113" s="32">
        <v>3</v>
      </c>
      <c r="D113" s="32">
        <v>5</v>
      </c>
      <c r="E113" s="5" t="s">
        <v>248</v>
      </c>
      <c r="F113" s="29">
        <f t="shared" si="4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6">
        <v>2436</v>
      </c>
      <c r="B114" s="32" t="s">
        <v>9</v>
      </c>
      <c r="C114" s="32">
        <v>3</v>
      </c>
      <c r="D114" s="32">
        <v>6</v>
      </c>
      <c r="E114" s="5" t="s">
        <v>249</v>
      </c>
      <c r="F114" s="29">
        <f t="shared" si="4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6">
        <v>2440</v>
      </c>
      <c r="B115" s="32" t="s">
        <v>9</v>
      </c>
      <c r="C115" s="32">
        <v>4</v>
      </c>
      <c r="D115" s="32">
        <v>0</v>
      </c>
      <c r="E115" s="5" t="s">
        <v>250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7" customFormat="1" x14ac:dyDescent="0.3">
      <c r="A116" s="36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6">
        <v>2441</v>
      </c>
      <c r="B117" s="32" t="s">
        <v>9</v>
      </c>
      <c r="C117" s="32">
        <v>4</v>
      </c>
      <c r="D117" s="32">
        <v>1</v>
      </c>
      <c r="E117" s="5" t="s">
        <v>251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6">
        <v>2442</v>
      </c>
      <c r="B118" s="32" t="s">
        <v>9</v>
      </c>
      <c r="C118" s="32">
        <v>4</v>
      </c>
      <c r="D118" s="32">
        <v>2</v>
      </c>
      <c r="E118" s="5" t="s">
        <v>252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6">
        <v>2443</v>
      </c>
      <c r="B119" s="32" t="s">
        <v>9</v>
      </c>
      <c r="C119" s="32">
        <v>4</v>
      </c>
      <c r="D119" s="32">
        <v>3</v>
      </c>
      <c r="E119" s="5" t="s">
        <v>253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6">
        <v>2450</v>
      </c>
      <c r="B120" s="32" t="s">
        <v>9</v>
      </c>
      <c r="C120" s="32">
        <v>5</v>
      </c>
      <c r="D120" s="32">
        <v>0</v>
      </c>
      <c r="E120" s="5" t="s">
        <v>254</v>
      </c>
      <c r="F120" s="29">
        <f t="shared" ref="F120:L120" si="5">+F122</f>
        <v>2482834.1840000004</v>
      </c>
      <c r="G120" s="29">
        <f t="shared" si="5"/>
        <v>302360</v>
      </c>
      <c r="H120" s="29">
        <f t="shared" si="5"/>
        <v>2180474.1840000004</v>
      </c>
      <c r="I120" s="29">
        <f t="shared" si="5"/>
        <v>1304083.6500830036</v>
      </c>
      <c r="J120" s="29">
        <f t="shared" si="5"/>
        <v>1676032.9079920899</v>
      </c>
      <c r="K120" s="29">
        <f t="shared" si="5"/>
        <v>2069795.206075096</v>
      </c>
      <c r="L120" s="29">
        <f t="shared" si="5"/>
        <v>2482834.1840000004</v>
      </c>
    </row>
    <row r="121" spans="1:12" s="37" customFormat="1" x14ac:dyDescent="0.3">
      <c r="A121" s="36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6">
        <v>2451</v>
      </c>
      <c r="B122" s="32" t="s">
        <v>9</v>
      </c>
      <c r="C122" s="32">
        <v>5</v>
      </c>
      <c r="D122" s="32">
        <v>1</v>
      </c>
      <c r="E122" s="5" t="s">
        <v>255</v>
      </c>
      <c r="F122" s="29">
        <f>+'4.Gorcarakan ev tntesagitakan'!G281</f>
        <v>2482834.1840000004</v>
      </c>
      <c r="G122" s="29">
        <f>+'4.Gorcarakan ev tntesagitakan'!H281</f>
        <v>302360</v>
      </c>
      <c r="H122" s="29">
        <f>+'4.Gorcarakan ev tntesagitakan'!I281</f>
        <v>2180474.1840000004</v>
      </c>
      <c r="I122" s="29">
        <f>+'4.Gorcarakan ev tntesagitakan'!J281</f>
        <v>1304083.6500830036</v>
      </c>
      <c r="J122" s="29">
        <f>+'4.Gorcarakan ev tntesagitakan'!K281</f>
        <v>1676032.9079920899</v>
      </c>
      <c r="K122" s="29">
        <f>+'4.Gorcarakan ev tntesagitakan'!L281</f>
        <v>2069795.206075096</v>
      </c>
      <c r="L122" s="29">
        <f>+'4.Gorcarakan ev tntesagitakan'!M281</f>
        <v>2482834.1840000004</v>
      </c>
    </row>
    <row r="123" spans="1:12" x14ac:dyDescent="0.3">
      <c r="A123" s="36">
        <v>2452</v>
      </c>
      <c r="B123" s="32" t="s">
        <v>9</v>
      </c>
      <c r="C123" s="32">
        <v>5</v>
      </c>
      <c r="D123" s="32">
        <v>2</v>
      </c>
      <c r="E123" s="5" t="s">
        <v>256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6">
        <v>2453</v>
      </c>
      <c r="B124" s="32" t="s">
        <v>9</v>
      </c>
      <c r="C124" s="32">
        <v>5</v>
      </c>
      <c r="D124" s="32">
        <v>3</v>
      </c>
      <c r="E124" s="5" t="s">
        <v>257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6">
        <v>2454</v>
      </c>
      <c r="B125" s="32" t="s">
        <v>9</v>
      </c>
      <c r="C125" s="32">
        <v>5</v>
      </c>
      <c r="D125" s="32">
        <v>4</v>
      </c>
      <c r="E125" s="5" t="s">
        <v>258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6">
        <v>2455</v>
      </c>
      <c r="B126" s="32" t="s">
        <v>9</v>
      </c>
      <c r="C126" s="32">
        <v>5</v>
      </c>
      <c r="D126" s="32">
        <v>5</v>
      </c>
      <c r="E126" s="5" t="s">
        <v>259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6">
        <v>2460</v>
      </c>
      <c r="B127" s="32" t="s">
        <v>9</v>
      </c>
      <c r="C127" s="32">
        <v>6</v>
      </c>
      <c r="D127" s="32">
        <v>0</v>
      </c>
      <c r="E127" s="5" t="s">
        <v>260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7" customFormat="1" x14ac:dyDescent="0.3">
      <c r="A128" s="36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6">
        <v>2461</v>
      </c>
      <c r="B129" s="32" t="s">
        <v>9</v>
      </c>
      <c r="C129" s="32">
        <v>6</v>
      </c>
      <c r="D129" s="32">
        <v>1</v>
      </c>
      <c r="E129" s="5" t="s">
        <v>261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6">
        <v>2470</v>
      </c>
      <c r="B130" s="32" t="s">
        <v>9</v>
      </c>
      <c r="C130" s="32">
        <v>7</v>
      </c>
      <c r="D130" s="32">
        <v>0</v>
      </c>
      <c r="E130" s="5" t="s">
        <v>262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7" customFormat="1" x14ac:dyDescent="0.3">
      <c r="A131" s="36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6">
        <v>2471</v>
      </c>
      <c r="B132" s="32" t="s">
        <v>9</v>
      </c>
      <c r="C132" s="32">
        <v>7</v>
      </c>
      <c r="D132" s="32">
        <v>1</v>
      </c>
      <c r="E132" s="5" t="s">
        <v>263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6">
        <v>2472</v>
      </c>
      <c r="B133" s="32" t="s">
        <v>9</v>
      </c>
      <c r="C133" s="32">
        <v>7</v>
      </c>
      <c r="D133" s="32">
        <v>2</v>
      </c>
      <c r="E133" s="5" t="s">
        <v>264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6">
        <v>2473</v>
      </c>
      <c r="B134" s="32" t="s">
        <v>9</v>
      </c>
      <c r="C134" s="32">
        <v>7</v>
      </c>
      <c r="D134" s="32">
        <v>3</v>
      </c>
      <c r="E134" s="5" t="s">
        <v>265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6">
        <v>2474</v>
      </c>
      <c r="B135" s="32" t="s">
        <v>9</v>
      </c>
      <c r="C135" s="32">
        <v>7</v>
      </c>
      <c r="D135" s="32">
        <v>4</v>
      </c>
      <c r="E135" s="5" t="s">
        <v>266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6">
        <v>2480</v>
      </c>
      <c r="B136" s="32" t="s">
        <v>9</v>
      </c>
      <c r="C136" s="32">
        <v>8</v>
      </c>
      <c r="D136" s="32">
        <v>0</v>
      </c>
      <c r="E136" s="5" t="s">
        <v>267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7" customFormat="1" x14ac:dyDescent="0.3">
      <c r="A137" s="36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6">
        <v>2481</v>
      </c>
      <c r="B138" s="32" t="s">
        <v>9</v>
      </c>
      <c r="C138" s="32">
        <v>8</v>
      </c>
      <c r="D138" s="32">
        <v>1</v>
      </c>
      <c r="E138" s="5" t="s">
        <v>268</v>
      </c>
      <c r="F138" s="29">
        <f t="shared" ref="F138:F144" si="6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6">
        <v>2482</v>
      </c>
      <c r="B139" s="32" t="s">
        <v>9</v>
      </c>
      <c r="C139" s="32">
        <v>8</v>
      </c>
      <c r="D139" s="32">
        <v>2</v>
      </c>
      <c r="E139" s="5" t="s">
        <v>269</v>
      </c>
      <c r="F139" s="29">
        <f t="shared" si="6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6">
        <v>2483</v>
      </c>
      <c r="B140" s="32" t="s">
        <v>9</v>
      </c>
      <c r="C140" s="32">
        <v>8</v>
      </c>
      <c r="D140" s="32">
        <v>3</v>
      </c>
      <c r="E140" s="5" t="s">
        <v>270</v>
      </c>
      <c r="F140" s="29">
        <f t="shared" si="6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6">
        <v>2484</v>
      </c>
      <c r="B141" s="32" t="s">
        <v>9</v>
      </c>
      <c r="C141" s="32">
        <v>8</v>
      </c>
      <c r="D141" s="32">
        <v>4</v>
      </c>
      <c r="E141" s="5" t="s">
        <v>271</v>
      </c>
      <c r="F141" s="29">
        <f t="shared" si="6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6">
        <v>2485</v>
      </c>
      <c r="B142" s="32" t="s">
        <v>9</v>
      </c>
      <c r="C142" s="32">
        <v>8</v>
      </c>
      <c r="D142" s="32">
        <v>5</v>
      </c>
      <c r="E142" s="5" t="s">
        <v>272</v>
      </c>
      <c r="F142" s="29">
        <f t="shared" si="6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6">
        <v>2486</v>
      </c>
      <c r="B143" s="32" t="s">
        <v>9</v>
      </c>
      <c r="C143" s="32">
        <v>8</v>
      </c>
      <c r="D143" s="32">
        <v>6</v>
      </c>
      <c r="E143" s="5" t="s">
        <v>273</v>
      </c>
      <c r="F143" s="29">
        <f t="shared" si="6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6">
        <v>2487</v>
      </c>
      <c r="B144" s="32" t="s">
        <v>9</v>
      </c>
      <c r="C144" s="32">
        <v>8</v>
      </c>
      <c r="D144" s="32">
        <v>7</v>
      </c>
      <c r="E144" s="5" t="s">
        <v>274</v>
      </c>
      <c r="F144" s="29">
        <f t="shared" si="6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6">
        <v>2490</v>
      </c>
      <c r="B145" s="32" t="s">
        <v>9</v>
      </c>
      <c r="C145" s="32">
        <v>9</v>
      </c>
      <c r="D145" s="32">
        <v>0</v>
      </c>
      <c r="E145" s="5" t="s">
        <v>275</v>
      </c>
      <c r="F145" s="29">
        <f>+F147</f>
        <v>-1543265</v>
      </c>
      <c r="G145" s="29"/>
      <c r="H145" s="29">
        <f>+H147</f>
        <v>-1543265</v>
      </c>
      <c r="I145" s="29">
        <f>+I147</f>
        <v>-514522.742212885</v>
      </c>
      <c r="J145" s="29">
        <f>+J147</f>
        <v>-881643.93830260844</v>
      </c>
      <c r="K145" s="29">
        <f>+K147</f>
        <v>-1280138.6865504344</v>
      </c>
      <c r="L145" s="29">
        <f>+L147</f>
        <v>-1543265</v>
      </c>
    </row>
    <row r="146" spans="1:12" s="37" customFormat="1" x14ac:dyDescent="0.3">
      <c r="A146" s="36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6">
        <v>2491</v>
      </c>
      <c r="B147" s="32" t="s">
        <v>9</v>
      </c>
      <c r="C147" s="32">
        <v>9</v>
      </c>
      <c r="D147" s="32">
        <v>1</v>
      </c>
      <c r="E147" s="5" t="s">
        <v>275</v>
      </c>
      <c r="F147" s="29">
        <f>+'4.Gorcarakan ev tntesagitakan'!G350</f>
        <v>-1543265</v>
      </c>
      <c r="G147" s="29"/>
      <c r="H147" s="29">
        <f>+'4.Gorcarakan ev tntesagitakan'!I350</f>
        <v>-1543265</v>
      </c>
      <c r="I147" s="29">
        <f>+'4.Gorcarakan ev tntesagitakan'!J350</f>
        <v>-514522.742212885</v>
      </c>
      <c r="J147" s="29">
        <f>+'4.Gorcarakan ev tntesagitakan'!K350</f>
        <v>-881643.93830260844</v>
      </c>
      <c r="K147" s="29">
        <f>+'4.Gorcarakan ev tntesagitakan'!L350</f>
        <v>-1280138.6865504344</v>
      </c>
      <c r="L147" s="29">
        <f>+'4.Gorcarakan ev tntesagitakan'!M350</f>
        <v>-1543265</v>
      </c>
    </row>
    <row r="148" spans="1:12" s="34" customFormat="1" ht="40.5" x14ac:dyDescent="0.25">
      <c r="A148" s="36">
        <v>2500</v>
      </c>
      <c r="B148" s="32" t="s">
        <v>10</v>
      </c>
      <c r="C148" s="32">
        <v>0</v>
      </c>
      <c r="D148" s="32">
        <v>0</v>
      </c>
      <c r="E148" s="5" t="s">
        <v>276</v>
      </c>
      <c r="F148" s="29">
        <f>+F150+F153+F156+F159+F162+F165</f>
        <v>1040179.5559999999</v>
      </c>
      <c r="G148" s="29">
        <f t="shared" ref="G148:L148" si="7">+G150+G153+G156+G159+G162+G165</f>
        <v>894633.82899999991</v>
      </c>
      <c r="H148" s="29">
        <f t="shared" si="7"/>
        <v>145545.72700000001</v>
      </c>
      <c r="I148" s="29">
        <f t="shared" si="7"/>
        <v>278599.51989723369</v>
      </c>
      <c r="J148" s="29">
        <f t="shared" si="7"/>
        <v>534126.24499209505</v>
      </c>
      <c r="K148" s="29">
        <f t="shared" si="7"/>
        <v>785187.97954743076</v>
      </c>
      <c r="L148" s="29">
        <f t="shared" si="7"/>
        <v>1040179.5559999999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6">
        <v>2510</v>
      </c>
      <c r="B150" s="32" t="s">
        <v>10</v>
      </c>
      <c r="C150" s="32">
        <v>1</v>
      </c>
      <c r="D150" s="32">
        <v>0</v>
      </c>
      <c r="E150" s="5" t="s">
        <v>277</v>
      </c>
      <c r="F150" s="29">
        <f>+F152</f>
        <v>703684.82899999991</v>
      </c>
      <c r="G150" s="29">
        <f t="shared" ref="G150:L150" si="8">+G152</f>
        <v>701684.82899999991</v>
      </c>
      <c r="H150" s="29">
        <f t="shared" si="8"/>
        <v>2000</v>
      </c>
      <c r="I150" s="29">
        <f t="shared" si="8"/>
        <v>177781.09351778711</v>
      </c>
      <c r="J150" s="29">
        <f t="shared" si="8"/>
        <v>360807.33028458513</v>
      </c>
      <c r="K150" s="29">
        <f t="shared" si="8"/>
        <v>532190.74367391295</v>
      </c>
      <c r="L150" s="29">
        <f t="shared" si="8"/>
        <v>703684.82899999991</v>
      </c>
    </row>
    <row r="151" spans="1:12" s="37" customFormat="1" x14ac:dyDescent="0.3">
      <c r="A151" s="36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6">
        <v>2511</v>
      </c>
      <c r="B152" s="32" t="s">
        <v>10</v>
      </c>
      <c r="C152" s="32">
        <v>1</v>
      </c>
      <c r="D152" s="32">
        <v>1</v>
      </c>
      <c r="E152" s="5" t="s">
        <v>277</v>
      </c>
      <c r="F152" s="29">
        <f>+'4.Gorcarakan ev tntesagitakan'!G358</f>
        <v>703684.82899999991</v>
      </c>
      <c r="G152" s="29">
        <f>+'4.Gorcarakan ev tntesagitakan'!H358</f>
        <v>701684.82899999991</v>
      </c>
      <c r="H152" s="29">
        <f>+'4.Gorcarakan ev tntesagitakan'!I358</f>
        <v>2000</v>
      </c>
      <c r="I152" s="29">
        <f>+'4.Gorcarakan ev tntesagitakan'!J358</f>
        <v>177781.09351778711</v>
      </c>
      <c r="J152" s="29">
        <f>+'4.Gorcarakan ev tntesagitakan'!K358</f>
        <v>360807.33028458513</v>
      </c>
      <c r="K152" s="29">
        <f>+'4.Gorcarakan ev tntesagitakan'!L358</f>
        <v>532190.74367391295</v>
      </c>
      <c r="L152" s="29">
        <f>+'4.Gorcarakan ev tntesagitakan'!M358</f>
        <v>703684.82899999991</v>
      </c>
    </row>
    <row r="153" spans="1:12" x14ac:dyDescent="0.3">
      <c r="A153" s="36">
        <v>2520</v>
      </c>
      <c r="B153" s="32" t="s">
        <v>10</v>
      </c>
      <c r="C153" s="32">
        <v>2</v>
      </c>
      <c r="D153" s="32">
        <v>0</v>
      </c>
      <c r="E153" s="5" t="s">
        <v>278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7" customFormat="1" x14ac:dyDescent="0.3">
      <c r="A154" s="36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6">
        <v>2521</v>
      </c>
      <c r="B155" s="32" t="s">
        <v>10</v>
      </c>
      <c r="C155" s="32">
        <v>2</v>
      </c>
      <c r="D155" s="32">
        <v>1</v>
      </c>
      <c r="E155" s="5" t="s">
        <v>279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6">
        <v>2530</v>
      </c>
      <c r="B156" s="32" t="s">
        <v>10</v>
      </c>
      <c r="C156" s="32">
        <v>3</v>
      </c>
      <c r="D156" s="32">
        <v>0</v>
      </c>
      <c r="E156" s="5" t="s">
        <v>280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7" customFormat="1" x14ac:dyDescent="0.3">
      <c r="A157" s="36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6">
        <v>2531</v>
      </c>
      <c r="B158" s="32" t="s">
        <v>10</v>
      </c>
      <c r="C158" s="32">
        <v>3</v>
      </c>
      <c r="D158" s="32">
        <v>1</v>
      </c>
      <c r="E158" s="5" t="s">
        <v>280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6">
        <v>2540</v>
      </c>
      <c r="B159" s="32" t="s">
        <v>10</v>
      </c>
      <c r="C159" s="32">
        <v>4</v>
      </c>
      <c r="D159" s="32">
        <v>0</v>
      </c>
      <c r="E159" s="5" t="s">
        <v>281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7" customFormat="1" x14ac:dyDescent="0.3">
      <c r="A160" s="36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6">
        <v>2541</v>
      </c>
      <c r="B161" s="32" t="s">
        <v>10</v>
      </c>
      <c r="C161" s="32">
        <v>4</v>
      </c>
      <c r="D161" s="32">
        <v>1</v>
      </c>
      <c r="E161" s="5" t="s">
        <v>281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6">
        <v>2550</v>
      </c>
      <c r="B162" s="32" t="s">
        <v>10</v>
      </c>
      <c r="C162" s="32">
        <v>5</v>
      </c>
      <c r="D162" s="32">
        <v>0</v>
      </c>
      <c r="E162" s="5" t="s">
        <v>282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7" customFormat="1" x14ac:dyDescent="0.3">
      <c r="A163" s="36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6">
        <v>2551</v>
      </c>
      <c r="B164" s="32" t="s">
        <v>10</v>
      </c>
      <c r="C164" s="32">
        <v>5</v>
      </c>
      <c r="D164" s="32">
        <v>1</v>
      </c>
      <c r="E164" s="5" t="s">
        <v>282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6">
        <v>2560</v>
      </c>
      <c r="B165" s="32" t="s">
        <v>10</v>
      </c>
      <c r="C165" s="32">
        <v>6</v>
      </c>
      <c r="D165" s="32">
        <v>0</v>
      </c>
      <c r="E165" s="5" t="s">
        <v>283</v>
      </c>
      <c r="F165" s="29">
        <f>+F167</f>
        <v>336494.72700000001</v>
      </c>
      <c r="G165" s="29">
        <f t="shared" ref="G165:L165" si="9">+G167</f>
        <v>192949</v>
      </c>
      <c r="H165" s="29">
        <f t="shared" si="9"/>
        <v>143545.72700000001</v>
      </c>
      <c r="I165" s="29">
        <f t="shared" si="9"/>
        <v>100818.42637944658</v>
      </c>
      <c r="J165" s="29">
        <f t="shared" si="9"/>
        <v>173318.91470750989</v>
      </c>
      <c r="K165" s="29">
        <f t="shared" si="9"/>
        <v>252997.23587351784</v>
      </c>
      <c r="L165" s="29">
        <f t="shared" si="9"/>
        <v>336494.72700000001</v>
      </c>
    </row>
    <row r="166" spans="1:12" s="37" customFormat="1" x14ac:dyDescent="0.3">
      <c r="A166" s="36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6">
        <v>2561</v>
      </c>
      <c r="B167" s="32" t="s">
        <v>10</v>
      </c>
      <c r="C167" s="32">
        <v>6</v>
      </c>
      <c r="D167" s="32">
        <v>1</v>
      </c>
      <c r="E167" s="5" t="s">
        <v>283</v>
      </c>
      <c r="F167" s="29">
        <f>+'4.Gorcarakan ev tntesagitakan'!G399</f>
        <v>336494.72700000001</v>
      </c>
      <c r="G167" s="29">
        <f>+'4.Gorcarakan ev tntesagitakan'!H399</f>
        <v>192949</v>
      </c>
      <c r="H167" s="29">
        <f>+'4.Gorcarakan ev tntesagitakan'!I399</f>
        <v>143545.72700000001</v>
      </c>
      <c r="I167" s="29">
        <f>+'4.Gorcarakan ev tntesagitakan'!J399</f>
        <v>100818.42637944658</v>
      </c>
      <c r="J167" s="29">
        <f>+'4.Gorcarakan ev tntesagitakan'!K399</f>
        <v>173318.91470750989</v>
      </c>
      <c r="K167" s="29">
        <f>+'4.Gorcarakan ev tntesagitakan'!L399</f>
        <v>252997.23587351784</v>
      </c>
      <c r="L167" s="29">
        <f>+'4.Gorcarakan ev tntesagitakan'!M399</f>
        <v>336494.72700000001</v>
      </c>
    </row>
    <row r="168" spans="1:12" s="34" customFormat="1" ht="54" x14ac:dyDescent="0.25">
      <c r="A168" s="36">
        <v>2600</v>
      </c>
      <c r="B168" s="32" t="s">
        <v>11</v>
      </c>
      <c r="C168" s="32">
        <v>0</v>
      </c>
      <c r="D168" s="32">
        <v>0</v>
      </c>
      <c r="E168" s="5" t="s">
        <v>284</v>
      </c>
      <c r="F168" s="29">
        <f>+F170+F173+F176+F179+F182+F185</f>
        <v>1440195.5160999999</v>
      </c>
      <c r="G168" s="29">
        <f t="shared" ref="G168:L168" si="10">+G170+G173+G176+G179+G182+G185</f>
        <v>481854.99700000021</v>
      </c>
      <c r="H168" s="29">
        <f t="shared" si="10"/>
        <v>958340.51909999945</v>
      </c>
      <c r="I168" s="29">
        <f t="shared" si="10"/>
        <v>377854.0329853748</v>
      </c>
      <c r="J168" s="29">
        <f t="shared" si="10"/>
        <v>548313.45794980158</v>
      </c>
      <c r="K168" s="29">
        <f t="shared" si="10"/>
        <v>1198288.449024901</v>
      </c>
      <c r="L168" s="29">
        <f t="shared" si="10"/>
        <v>1440195.5160999999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6">
        <v>2610</v>
      </c>
      <c r="B170" s="32" t="s">
        <v>11</v>
      </c>
      <c r="C170" s="32">
        <v>1</v>
      </c>
      <c r="D170" s="32">
        <v>0</v>
      </c>
      <c r="E170" s="5" t="s">
        <v>285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7" customFormat="1" x14ac:dyDescent="0.3">
      <c r="A171" s="36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6">
        <v>2611</v>
      </c>
      <c r="B172" s="32" t="s">
        <v>11</v>
      </c>
      <c r="C172" s="32">
        <v>1</v>
      </c>
      <c r="D172" s="32">
        <v>1</v>
      </c>
      <c r="E172" s="5" t="s">
        <v>286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6">
        <v>2620</v>
      </c>
      <c r="B173" s="32" t="s">
        <v>11</v>
      </c>
      <c r="C173" s="32">
        <v>2</v>
      </c>
      <c r="D173" s="32">
        <v>0</v>
      </c>
      <c r="E173" s="5" t="s">
        <v>287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7" customFormat="1" x14ac:dyDescent="0.3">
      <c r="A174" s="36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6">
        <v>2621</v>
      </c>
      <c r="B175" s="32" t="s">
        <v>11</v>
      </c>
      <c r="C175" s="32">
        <v>2</v>
      </c>
      <c r="D175" s="32">
        <v>1</v>
      </c>
      <c r="E175" s="5" t="s">
        <v>287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6">
        <v>2630</v>
      </c>
      <c r="B176" s="32" t="s">
        <v>11</v>
      </c>
      <c r="C176" s="32">
        <v>3</v>
      </c>
      <c r="D176" s="32">
        <v>0</v>
      </c>
      <c r="E176" s="5" t="s">
        <v>288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7" customFormat="1" x14ac:dyDescent="0.3">
      <c r="A177" s="36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6">
        <v>2631</v>
      </c>
      <c r="B178" s="32" t="s">
        <v>11</v>
      </c>
      <c r="C178" s="32">
        <v>3</v>
      </c>
      <c r="D178" s="32">
        <v>1</v>
      </c>
      <c r="E178" s="5" t="s">
        <v>289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6">
        <v>2640</v>
      </c>
      <c r="B179" s="32" t="s">
        <v>11</v>
      </c>
      <c r="C179" s="32">
        <v>4</v>
      </c>
      <c r="D179" s="32">
        <v>0</v>
      </c>
      <c r="E179" s="5" t="s">
        <v>290</v>
      </c>
      <c r="F179" s="29">
        <f>+F181</f>
        <v>242515.66700000019</v>
      </c>
      <c r="G179" s="29">
        <f t="shared" ref="G179:L179" si="11">+G181</f>
        <v>200715.66700000019</v>
      </c>
      <c r="H179" s="29">
        <f t="shared" si="11"/>
        <v>41800</v>
      </c>
      <c r="I179" s="29">
        <f t="shared" si="11"/>
        <v>120563.07545849812</v>
      </c>
      <c r="J179" s="29">
        <f t="shared" si="11"/>
        <v>132811.29680237168</v>
      </c>
      <c r="K179" s="29">
        <f t="shared" si="11"/>
        <v>187663.48190118591</v>
      </c>
      <c r="L179" s="29">
        <f t="shared" si="11"/>
        <v>242515.66700000019</v>
      </c>
    </row>
    <row r="180" spans="1:12" s="37" customFormat="1" x14ac:dyDescent="0.3">
      <c r="A180" s="36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6">
        <v>2641</v>
      </c>
      <c r="B181" s="32" t="s">
        <v>11</v>
      </c>
      <c r="C181" s="32">
        <v>4</v>
      </c>
      <c r="D181" s="32">
        <v>1</v>
      </c>
      <c r="E181" s="5" t="s">
        <v>291</v>
      </c>
      <c r="F181" s="29">
        <f>+'4.Gorcarakan ev tntesagitakan'!G432</f>
        <v>242515.66700000019</v>
      </c>
      <c r="G181" s="29">
        <f>+'4.Gorcarakan ev tntesagitakan'!H432</f>
        <v>200715.66700000019</v>
      </c>
      <c r="H181" s="29">
        <f>+'4.Gorcarakan ev tntesagitakan'!I432</f>
        <v>41800</v>
      </c>
      <c r="I181" s="29">
        <f>+'4.Gorcarakan ev tntesagitakan'!J432</f>
        <v>120563.07545849812</v>
      </c>
      <c r="J181" s="29">
        <f>+'4.Gorcarakan ev tntesagitakan'!K432</f>
        <v>132811.29680237168</v>
      </c>
      <c r="K181" s="29">
        <f>+'4.Gorcarakan ev tntesagitakan'!L432</f>
        <v>187663.48190118591</v>
      </c>
      <c r="L181" s="29">
        <f>+'4.Gorcarakan ev tntesagitakan'!M432</f>
        <v>242515.66700000019</v>
      </c>
    </row>
    <row r="182" spans="1:12" ht="40.5" x14ac:dyDescent="0.3">
      <c r="A182" s="36">
        <v>2650</v>
      </c>
      <c r="B182" s="32" t="s">
        <v>11</v>
      </c>
      <c r="C182" s="32">
        <v>5</v>
      </c>
      <c r="D182" s="32">
        <v>0</v>
      </c>
      <c r="E182" s="5" t="s">
        <v>292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7" customFormat="1" x14ac:dyDescent="0.3">
      <c r="A183" s="36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6">
        <v>2651</v>
      </c>
      <c r="B184" s="32" t="s">
        <v>11</v>
      </c>
      <c r="C184" s="32">
        <v>5</v>
      </c>
      <c r="D184" s="32">
        <v>1</v>
      </c>
      <c r="E184" s="5" t="s">
        <v>292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6">
        <v>2660</v>
      </c>
      <c r="B185" s="32" t="s">
        <v>11</v>
      </c>
      <c r="C185" s="32">
        <v>6</v>
      </c>
      <c r="D185" s="32">
        <v>0</v>
      </c>
      <c r="E185" s="5" t="s">
        <v>293</v>
      </c>
      <c r="F185" s="29">
        <f>+F187</f>
        <v>1197679.8490999998</v>
      </c>
      <c r="G185" s="29">
        <f t="shared" ref="G185:L185" si="12">+G187</f>
        <v>281139.33</v>
      </c>
      <c r="H185" s="29">
        <f t="shared" si="12"/>
        <v>916540.51909999945</v>
      </c>
      <c r="I185" s="29">
        <f t="shared" si="12"/>
        <v>257290.95752687668</v>
      </c>
      <c r="J185" s="29">
        <f t="shared" si="12"/>
        <v>415502.1611474299</v>
      </c>
      <c r="K185" s="29">
        <f t="shared" si="12"/>
        <v>1010624.9671237151</v>
      </c>
      <c r="L185" s="29">
        <f t="shared" si="12"/>
        <v>1197679.8490999998</v>
      </c>
    </row>
    <row r="186" spans="1:12" s="37" customFormat="1" x14ac:dyDescent="0.3">
      <c r="A186" s="36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6">
        <v>2661</v>
      </c>
      <c r="B187" s="32" t="s">
        <v>11</v>
      </c>
      <c r="C187" s="32">
        <v>6</v>
      </c>
      <c r="D187" s="32">
        <v>1</v>
      </c>
      <c r="E187" s="5" t="s">
        <v>293</v>
      </c>
      <c r="F187" s="29">
        <f>+'4.Gorcarakan ev tntesagitakan'!G448</f>
        <v>1197679.8490999998</v>
      </c>
      <c r="G187" s="29">
        <f>+'4.Gorcarakan ev tntesagitakan'!H448</f>
        <v>281139.33</v>
      </c>
      <c r="H187" s="29">
        <f>+'4.Gorcarakan ev tntesagitakan'!I448</f>
        <v>916540.51909999945</v>
      </c>
      <c r="I187" s="29">
        <f>+'4.Gorcarakan ev tntesagitakan'!J448</f>
        <v>257290.95752687668</v>
      </c>
      <c r="J187" s="29">
        <f>+'4.Gorcarakan ev tntesagitakan'!K448</f>
        <v>415502.1611474299</v>
      </c>
      <c r="K187" s="29">
        <f>+'4.Gorcarakan ev tntesagitakan'!L448</f>
        <v>1010624.9671237151</v>
      </c>
      <c r="L187" s="29">
        <f>+'4.Gorcarakan ev tntesagitakan'!M448</f>
        <v>1197679.8490999998</v>
      </c>
    </row>
    <row r="188" spans="1:12" s="34" customFormat="1" ht="40.5" x14ac:dyDescent="0.25">
      <c r="A188" s="36">
        <v>2700</v>
      </c>
      <c r="B188" s="32" t="s">
        <v>12</v>
      </c>
      <c r="C188" s="32">
        <v>0</v>
      </c>
      <c r="D188" s="32">
        <v>0</v>
      </c>
      <c r="E188" s="5" t="s">
        <v>294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6">
        <v>2710</v>
      </c>
      <c r="B190" s="32" t="s">
        <v>12</v>
      </c>
      <c r="C190" s="32">
        <v>1</v>
      </c>
      <c r="D190" s="32">
        <v>0</v>
      </c>
      <c r="E190" s="5" t="s">
        <v>295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7" customFormat="1" x14ac:dyDescent="0.3">
      <c r="A191" s="36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6">
        <v>2711</v>
      </c>
      <c r="B192" s="32" t="s">
        <v>12</v>
      </c>
      <c r="C192" s="32">
        <v>1</v>
      </c>
      <c r="D192" s="32">
        <v>1</v>
      </c>
      <c r="E192" s="5" t="s">
        <v>296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6">
        <v>2712</v>
      </c>
      <c r="B193" s="32" t="s">
        <v>12</v>
      </c>
      <c r="C193" s="32">
        <v>1</v>
      </c>
      <c r="D193" s="32">
        <v>2</v>
      </c>
      <c r="E193" s="5" t="s">
        <v>297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6">
        <v>2713</v>
      </c>
      <c r="B194" s="32" t="s">
        <v>12</v>
      </c>
      <c r="C194" s="32">
        <v>1</v>
      </c>
      <c r="D194" s="32">
        <v>3</v>
      </c>
      <c r="E194" s="5" t="s">
        <v>298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6">
        <v>2720</v>
      </c>
      <c r="B195" s="32" t="s">
        <v>12</v>
      </c>
      <c r="C195" s="32">
        <v>2</v>
      </c>
      <c r="D195" s="32">
        <v>0</v>
      </c>
      <c r="E195" s="5" t="s">
        <v>299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7" customFormat="1" x14ac:dyDescent="0.3">
      <c r="A196" s="36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6">
        <v>2721</v>
      </c>
      <c r="B197" s="32" t="s">
        <v>12</v>
      </c>
      <c r="C197" s="32">
        <v>2</v>
      </c>
      <c r="D197" s="32">
        <v>1</v>
      </c>
      <c r="E197" s="5" t="s">
        <v>300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6">
        <v>2722</v>
      </c>
      <c r="B198" s="32" t="s">
        <v>12</v>
      </c>
      <c r="C198" s="32">
        <v>2</v>
      </c>
      <c r="D198" s="32">
        <v>2</v>
      </c>
      <c r="E198" s="5" t="s">
        <v>301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6">
        <v>2723</v>
      </c>
      <c r="B199" s="32" t="s">
        <v>12</v>
      </c>
      <c r="C199" s="32">
        <v>2</v>
      </c>
      <c r="D199" s="32">
        <v>3</v>
      </c>
      <c r="E199" s="5" t="s">
        <v>302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6">
        <v>2724</v>
      </c>
      <c r="B200" s="32" t="s">
        <v>12</v>
      </c>
      <c r="C200" s="32">
        <v>2</v>
      </c>
      <c r="D200" s="32">
        <v>4</v>
      </c>
      <c r="E200" s="5" t="s">
        <v>303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6">
        <v>2730</v>
      </c>
      <c r="B201" s="32" t="s">
        <v>12</v>
      </c>
      <c r="C201" s="32">
        <v>3</v>
      </c>
      <c r="D201" s="32">
        <v>0</v>
      </c>
      <c r="E201" s="5" t="s">
        <v>304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7" customFormat="1" x14ac:dyDescent="0.3">
      <c r="A202" s="36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6">
        <v>2731</v>
      </c>
      <c r="B203" s="32" t="s">
        <v>12</v>
      </c>
      <c r="C203" s="32">
        <v>3</v>
      </c>
      <c r="D203" s="32">
        <v>1</v>
      </c>
      <c r="E203" s="5" t="s">
        <v>305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6">
        <v>2732</v>
      </c>
      <c r="B204" s="32" t="s">
        <v>12</v>
      </c>
      <c r="C204" s="32">
        <v>3</v>
      </c>
      <c r="D204" s="32">
        <v>2</v>
      </c>
      <c r="E204" s="5" t="s">
        <v>306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6">
        <v>2733</v>
      </c>
      <c r="B205" s="32" t="s">
        <v>12</v>
      </c>
      <c r="C205" s="32">
        <v>3</v>
      </c>
      <c r="D205" s="32">
        <v>3</v>
      </c>
      <c r="E205" s="5" t="s">
        <v>307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6">
        <v>2734</v>
      </c>
      <c r="B206" s="32" t="s">
        <v>12</v>
      </c>
      <c r="C206" s="32">
        <v>3</v>
      </c>
      <c r="D206" s="32">
        <v>4</v>
      </c>
      <c r="E206" s="5" t="s">
        <v>308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6">
        <v>2740</v>
      </c>
      <c r="B207" s="32" t="s">
        <v>12</v>
      </c>
      <c r="C207" s="32">
        <v>4</v>
      </c>
      <c r="D207" s="32">
        <v>0</v>
      </c>
      <c r="E207" s="5" t="s">
        <v>309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7" customFormat="1" x14ac:dyDescent="0.3">
      <c r="A208" s="36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6">
        <v>2741</v>
      </c>
      <c r="B209" s="32" t="s">
        <v>12</v>
      </c>
      <c r="C209" s="32">
        <v>4</v>
      </c>
      <c r="D209" s="32">
        <v>1</v>
      </c>
      <c r="E209" s="5" t="s">
        <v>309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6">
        <v>2750</v>
      </c>
      <c r="B210" s="32" t="s">
        <v>12</v>
      </c>
      <c r="C210" s="32">
        <v>5</v>
      </c>
      <c r="D210" s="32">
        <v>0</v>
      </c>
      <c r="E210" s="5" t="s">
        <v>310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7" customFormat="1" x14ac:dyDescent="0.3">
      <c r="A211" s="36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6">
        <v>2751</v>
      </c>
      <c r="B212" s="32" t="s">
        <v>12</v>
      </c>
      <c r="C212" s="32">
        <v>5</v>
      </c>
      <c r="D212" s="32">
        <v>1</v>
      </c>
      <c r="E212" s="5" t="s">
        <v>310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6">
        <v>2760</v>
      </c>
      <c r="B213" s="32" t="s">
        <v>12</v>
      </c>
      <c r="C213" s="32">
        <v>6</v>
      </c>
      <c r="D213" s="32">
        <v>0</v>
      </c>
      <c r="E213" s="5" t="s">
        <v>311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7" customFormat="1" x14ac:dyDescent="0.3">
      <c r="A214" s="36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6">
        <v>2761</v>
      </c>
      <c r="B215" s="32" t="s">
        <v>12</v>
      </c>
      <c r="C215" s="32">
        <v>6</v>
      </c>
      <c r="D215" s="32">
        <v>1</v>
      </c>
      <c r="E215" s="5" t="s">
        <v>312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6">
        <v>2762</v>
      </c>
      <c r="B216" s="32" t="s">
        <v>12</v>
      </c>
      <c r="C216" s="32">
        <v>6</v>
      </c>
      <c r="D216" s="32">
        <v>2</v>
      </c>
      <c r="E216" s="5" t="s">
        <v>311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4" customFormat="1" ht="40.5" x14ac:dyDescent="0.25">
      <c r="A217" s="36">
        <v>2800</v>
      </c>
      <c r="B217" s="32" t="s">
        <v>13</v>
      </c>
      <c r="C217" s="32">
        <v>0</v>
      </c>
      <c r="D217" s="32">
        <v>0</v>
      </c>
      <c r="E217" s="5" t="s">
        <v>313</v>
      </c>
      <c r="F217" s="29">
        <f>+F219+F222+F231+F236+F241+F244</f>
        <v>1515663.7300000002</v>
      </c>
      <c r="G217" s="29">
        <f t="shared" ref="G217:L217" si="13">+G219+G222+G231+G236+G241+G244</f>
        <v>1505163.7300000002</v>
      </c>
      <c r="H217" s="29">
        <f t="shared" si="13"/>
        <v>10500</v>
      </c>
      <c r="I217" s="29">
        <f t="shared" si="13"/>
        <v>356717.16399209475</v>
      </c>
      <c r="J217" s="29">
        <f t="shared" si="13"/>
        <v>747230.50835968333</v>
      </c>
      <c r="K217" s="29">
        <f t="shared" si="13"/>
        <v>1144287.6114229255</v>
      </c>
      <c r="L217" s="29">
        <f t="shared" si="13"/>
        <v>1515663.7300000002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6">
        <v>2810</v>
      </c>
      <c r="B219" s="32" t="s">
        <v>13</v>
      </c>
      <c r="C219" s="32">
        <v>1</v>
      </c>
      <c r="D219" s="32">
        <v>0</v>
      </c>
      <c r="E219" s="5" t="s">
        <v>314</v>
      </c>
      <c r="F219" s="29">
        <f>+F221</f>
        <v>693531.8</v>
      </c>
      <c r="G219" s="29">
        <f t="shared" ref="G219:L219" si="14">+G221</f>
        <v>693531.8</v>
      </c>
      <c r="H219" s="29"/>
      <c r="I219" s="29">
        <f t="shared" si="14"/>
        <v>156505.81660079001</v>
      </c>
      <c r="J219" s="29">
        <f t="shared" si="14"/>
        <v>336420.59841897269</v>
      </c>
      <c r="K219" s="29">
        <f t="shared" si="14"/>
        <v>524920.86324110685</v>
      </c>
      <c r="L219" s="29">
        <f t="shared" si="14"/>
        <v>693531.8</v>
      </c>
    </row>
    <row r="220" spans="1:12" s="37" customFormat="1" x14ac:dyDescent="0.3">
      <c r="A220" s="36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6">
        <v>2811</v>
      </c>
      <c r="B221" s="32" t="s">
        <v>13</v>
      </c>
      <c r="C221" s="32">
        <v>1</v>
      </c>
      <c r="D221" s="32">
        <v>1</v>
      </c>
      <c r="E221" s="5" t="s">
        <v>314</v>
      </c>
      <c r="F221" s="29">
        <f>+'4.Gorcarakan ev tntesagitakan'!G544</f>
        <v>693531.8</v>
      </c>
      <c r="G221" s="29">
        <f>+'4.Gorcarakan ev tntesagitakan'!H544</f>
        <v>693531.8</v>
      </c>
      <c r="H221" s="29"/>
      <c r="I221" s="29">
        <f>+'4.Gorcarakan ev tntesagitakan'!J544</f>
        <v>156505.81660079001</v>
      </c>
      <c r="J221" s="29">
        <f>+'4.Gorcarakan ev tntesagitakan'!K544</f>
        <v>336420.59841897269</v>
      </c>
      <c r="K221" s="29">
        <f>+'4.Gorcarakan ev tntesagitakan'!L544</f>
        <v>524920.86324110685</v>
      </c>
      <c r="L221" s="29">
        <f>+'4.Gorcarakan ev tntesagitakan'!M544</f>
        <v>693531.8</v>
      </c>
    </row>
    <row r="222" spans="1:12" x14ac:dyDescent="0.3">
      <c r="A222" s="36">
        <v>2820</v>
      </c>
      <c r="B222" s="32" t="s">
        <v>13</v>
      </c>
      <c r="C222" s="32">
        <v>2</v>
      </c>
      <c r="D222" s="32">
        <v>0</v>
      </c>
      <c r="E222" s="5" t="s">
        <v>315</v>
      </c>
      <c r="F222" s="29">
        <f>+'4.Gorcarakan ev tntesagitakan'!G555</f>
        <v>770299.60000000009</v>
      </c>
      <c r="G222" s="29">
        <f>+'4.Gorcarakan ev tntesagitakan'!H555</f>
        <v>759799.60000000009</v>
      </c>
      <c r="H222" s="29">
        <f>+'4.Gorcarakan ev tntesagitakan'!I555</f>
        <v>10500</v>
      </c>
      <c r="I222" s="29">
        <f>+'4.Gorcarakan ev tntesagitakan'!J555</f>
        <v>182509.45217391342</v>
      </c>
      <c r="J222" s="29">
        <f>+'4.Gorcarakan ev tntesagitakan'!K555</f>
        <v>382669.27954545373</v>
      </c>
      <c r="K222" s="29">
        <f>+'4.Gorcarakan ev tntesagitakan'!L555</f>
        <v>576526.51304347871</v>
      </c>
      <c r="L222" s="29">
        <f>+'4.Gorcarakan ev tntesagitakan'!M555</f>
        <v>770299.60000000009</v>
      </c>
    </row>
    <row r="223" spans="1:12" s="37" customFormat="1" x14ac:dyDescent="0.3">
      <c r="A223" s="36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6">
        <v>2821</v>
      </c>
      <c r="B224" s="32" t="s">
        <v>13</v>
      </c>
      <c r="C224" s="32">
        <v>2</v>
      </c>
      <c r="D224" s="32">
        <v>1</v>
      </c>
      <c r="E224" s="5" t="s">
        <v>316</v>
      </c>
      <c r="F224" s="29">
        <f>+'4.Gorcarakan ev tntesagitakan'!G557</f>
        <v>59232.7</v>
      </c>
      <c r="G224" s="29">
        <f>+'4.Gorcarakan ev tntesagitakan'!H557</f>
        <v>59232.7</v>
      </c>
      <c r="H224" s="29"/>
      <c r="I224" s="29">
        <f>+'4.Gorcarakan ev tntesagitakan'!J557</f>
        <v>15127.443083003953</v>
      </c>
      <c r="J224" s="29">
        <f>+'4.Gorcarakan ev tntesagitakan'!K557</f>
        <v>29225.980632411109</v>
      </c>
      <c r="K224" s="29">
        <f>+'4.Gorcarakan ev tntesagitakan'!L557</f>
        <v>44229.340316205533</v>
      </c>
      <c r="L224" s="29">
        <f>+'4.Gorcarakan ev tntesagitakan'!M557</f>
        <v>59232.7</v>
      </c>
    </row>
    <row r="225" spans="1:12" x14ac:dyDescent="0.3">
      <c r="A225" s="36">
        <v>2822</v>
      </c>
      <c r="B225" s="32" t="s">
        <v>13</v>
      </c>
      <c r="C225" s="32">
        <v>2</v>
      </c>
      <c r="D225" s="32">
        <v>2</v>
      </c>
      <c r="E225" s="5" t="s">
        <v>317</v>
      </c>
      <c r="F225" s="29">
        <f>+'4.Gorcarakan ev tntesagitakan'!G563</f>
        <v>77880.5</v>
      </c>
      <c r="G225" s="29">
        <f>+'4.Gorcarakan ev tntesagitakan'!H563</f>
        <v>77880.5</v>
      </c>
      <c r="H225" s="29"/>
      <c r="I225" s="29">
        <f>+'4.Gorcarakan ev tntesagitakan'!J563</f>
        <v>19334.847826086956</v>
      </c>
      <c r="J225" s="29">
        <f>+'4.Gorcarakan ev tntesagitakan'!K563</f>
        <v>38032.673913043473</v>
      </c>
      <c r="K225" s="29">
        <f>+'4.Gorcarakan ev tntesagitakan'!L563</f>
        <v>57956.586956521744</v>
      </c>
      <c r="L225" s="29">
        <f>+'4.Gorcarakan ev tntesagitakan'!M563</f>
        <v>77880.5</v>
      </c>
    </row>
    <row r="226" spans="1:12" x14ac:dyDescent="0.3">
      <c r="A226" s="36">
        <v>2823</v>
      </c>
      <c r="B226" s="32" t="s">
        <v>13</v>
      </c>
      <c r="C226" s="32">
        <v>2</v>
      </c>
      <c r="D226" s="32">
        <v>3</v>
      </c>
      <c r="E226" s="5" t="s">
        <v>318</v>
      </c>
      <c r="F226" s="29">
        <f>+'4.Gorcarakan ev tntesagitakan'!G569</f>
        <v>616686.4</v>
      </c>
      <c r="G226" s="29">
        <f>+'4.Gorcarakan ev tntesagitakan'!H569</f>
        <v>616686.4</v>
      </c>
      <c r="H226" s="29"/>
      <c r="I226" s="29">
        <f>+'4.Gorcarakan ev tntesagitakan'!J569</f>
        <v>144003.68300395296</v>
      </c>
      <c r="J226" s="29">
        <f>+'4.Gorcarakan ev tntesagitakan'!K569</f>
        <v>307388.88586956437</v>
      </c>
      <c r="K226" s="29">
        <f>+'4.Gorcarakan ev tntesagitakan'!L569</f>
        <v>462079.71620553406</v>
      </c>
      <c r="L226" s="29">
        <f>+'4.Gorcarakan ev tntesagitakan'!M569</f>
        <v>616686.4</v>
      </c>
    </row>
    <row r="227" spans="1:12" x14ac:dyDescent="0.3">
      <c r="A227" s="36">
        <v>2824</v>
      </c>
      <c r="B227" s="32" t="s">
        <v>13</v>
      </c>
      <c r="C227" s="32">
        <v>2</v>
      </c>
      <c r="D227" s="32">
        <v>4</v>
      </c>
      <c r="E227" s="5" t="s">
        <v>319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6">
        <v>2825</v>
      </c>
      <c r="B228" s="32" t="s">
        <v>13</v>
      </c>
      <c r="C228" s="32">
        <v>2</v>
      </c>
      <c r="D228" s="32">
        <v>5</v>
      </c>
      <c r="E228" s="5" t="s">
        <v>320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6">
        <v>2826</v>
      </c>
      <c r="B229" s="32" t="s">
        <v>13</v>
      </c>
      <c r="C229" s="32">
        <v>2</v>
      </c>
      <c r="D229" s="32">
        <v>6</v>
      </c>
      <c r="E229" s="5" t="s">
        <v>321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6">
        <v>2827</v>
      </c>
      <c r="B230" s="32" t="s">
        <v>13</v>
      </c>
      <c r="C230" s="32">
        <v>2</v>
      </c>
      <c r="D230" s="32">
        <v>7</v>
      </c>
      <c r="E230" s="5" t="s">
        <v>322</v>
      </c>
      <c r="F230" s="29">
        <f>+'4.Gorcarakan ev tntesagitakan'!G588</f>
        <v>16500</v>
      </c>
      <c r="G230" s="29">
        <f>+'4.Gorcarakan ev tntesagitakan'!H588</f>
        <v>6000</v>
      </c>
      <c r="H230" s="29">
        <f>+'4.Gorcarakan ev tntesagitakan'!I588</f>
        <v>10500</v>
      </c>
      <c r="I230" s="29">
        <f>+'4.Gorcarakan ev tntesagitakan'!J588</f>
        <v>4043.478260869565</v>
      </c>
      <c r="J230" s="29">
        <f>+'4.Gorcarakan ev tntesagitakan'!K588</f>
        <v>8021.739130434783</v>
      </c>
      <c r="K230" s="29">
        <f>+'4.Gorcarakan ev tntesagitakan'!L588</f>
        <v>12260.869565217392</v>
      </c>
      <c r="L230" s="29">
        <f>+'4.Gorcarakan ev tntesagitakan'!M588</f>
        <v>16500</v>
      </c>
    </row>
    <row r="231" spans="1:12" ht="40.5" x14ac:dyDescent="0.3">
      <c r="A231" s="36">
        <v>2830</v>
      </c>
      <c r="B231" s="32" t="s">
        <v>13</v>
      </c>
      <c r="C231" s="32">
        <v>3</v>
      </c>
      <c r="D231" s="32">
        <v>0</v>
      </c>
      <c r="E231" s="5" t="s">
        <v>323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7" customFormat="1" x14ac:dyDescent="0.3">
      <c r="A232" s="36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6">
        <v>2831</v>
      </c>
      <c r="B233" s="32" t="s">
        <v>13</v>
      </c>
      <c r="C233" s="32">
        <v>3</v>
      </c>
      <c r="D233" s="32">
        <v>1</v>
      </c>
      <c r="E233" s="5" t="s">
        <v>324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6">
        <v>2832</v>
      </c>
      <c r="B234" s="32" t="s">
        <v>13</v>
      </c>
      <c r="C234" s="32">
        <v>3</v>
      </c>
      <c r="D234" s="32">
        <v>2</v>
      </c>
      <c r="E234" s="5" t="s">
        <v>325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6">
        <v>2833</v>
      </c>
      <c r="B235" s="32" t="s">
        <v>13</v>
      </c>
      <c r="C235" s="32">
        <v>3</v>
      </c>
      <c r="D235" s="32">
        <v>3</v>
      </c>
      <c r="E235" s="5" t="s">
        <v>326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6">
        <v>2840</v>
      </c>
      <c r="B236" s="32" t="s">
        <v>13</v>
      </c>
      <c r="C236" s="32">
        <v>4</v>
      </c>
      <c r="D236" s="32">
        <v>0</v>
      </c>
      <c r="E236" s="5" t="s">
        <v>327</v>
      </c>
      <c r="F236" s="29">
        <f>+F239</f>
        <v>15300</v>
      </c>
      <c r="G236" s="29">
        <f t="shared" ref="G236:L236" si="15">+G239</f>
        <v>15300</v>
      </c>
      <c r="H236" s="29">
        <f t="shared" si="15"/>
        <v>0</v>
      </c>
      <c r="I236" s="29">
        <f t="shared" si="15"/>
        <v>7592.490118577075</v>
      </c>
      <c r="J236" s="29">
        <f t="shared" si="15"/>
        <v>9592.4901185770796</v>
      </c>
      <c r="K236" s="29">
        <f t="shared" si="15"/>
        <v>15300</v>
      </c>
      <c r="L236" s="29">
        <f t="shared" si="15"/>
        <v>15300</v>
      </c>
    </row>
    <row r="237" spans="1:12" s="37" customFormat="1" x14ac:dyDescent="0.3">
      <c r="A237" s="36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6">
        <v>2841</v>
      </c>
      <c r="B238" s="32" t="s">
        <v>13</v>
      </c>
      <c r="C238" s="32">
        <v>4</v>
      </c>
      <c r="D238" s="32">
        <v>1</v>
      </c>
      <c r="E238" s="5" t="s">
        <v>328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6">
        <v>2842</v>
      </c>
      <c r="B239" s="32" t="s">
        <v>13</v>
      </c>
      <c r="C239" s="32">
        <v>4</v>
      </c>
      <c r="D239" s="32">
        <v>2</v>
      </c>
      <c r="E239" s="5" t="s">
        <v>329</v>
      </c>
      <c r="F239" s="29">
        <f>+'4.Gorcarakan ev tntesagitakan'!G615</f>
        <v>15300</v>
      </c>
      <c r="G239" s="29">
        <f>+'4.Gorcarakan ev tntesagitakan'!H615</f>
        <v>15300</v>
      </c>
      <c r="H239" s="29">
        <f>+'4.Gorcarakan ev tntesagitakan'!I615</f>
        <v>0</v>
      </c>
      <c r="I239" s="29">
        <f>+'4.Gorcarakan ev tntesagitakan'!J615</f>
        <v>7592.490118577075</v>
      </c>
      <c r="J239" s="29">
        <f>+'4.Gorcarakan ev tntesagitakan'!K615</f>
        <v>9592.4901185770796</v>
      </c>
      <c r="K239" s="29">
        <f>+'4.Gorcarakan ev tntesagitakan'!L615</f>
        <v>15300</v>
      </c>
      <c r="L239" s="29">
        <f>+'4.Gorcarakan ev tntesagitakan'!M615</f>
        <v>15300</v>
      </c>
    </row>
    <row r="240" spans="1:12" x14ac:dyDescent="0.3">
      <c r="A240" s="36">
        <v>2843</v>
      </c>
      <c r="B240" s="32" t="s">
        <v>13</v>
      </c>
      <c r="C240" s="32">
        <v>4</v>
      </c>
      <c r="D240" s="32">
        <v>3</v>
      </c>
      <c r="E240" s="5" t="s">
        <v>327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6">
        <v>2850</v>
      </c>
      <c r="B241" s="32" t="s">
        <v>13</v>
      </c>
      <c r="C241" s="32">
        <v>5</v>
      </c>
      <c r="D241" s="32">
        <v>0</v>
      </c>
      <c r="E241" s="6" t="s">
        <v>330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7" customFormat="1" x14ac:dyDescent="0.3">
      <c r="A242" s="36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6">
        <v>2851</v>
      </c>
      <c r="B243" s="32" t="s">
        <v>13</v>
      </c>
      <c r="C243" s="32">
        <v>5</v>
      </c>
      <c r="D243" s="32">
        <v>1</v>
      </c>
      <c r="E243" s="6" t="s">
        <v>330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6">
        <v>2860</v>
      </c>
      <c r="B244" s="32" t="s">
        <v>13</v>
      </c>
      <c r="C244" s="32">
        <v>6</v>
      </c>
      <c r="D244" s="32">
        <v>0</v>
      </c>
      <c r="E244" s="6" t="s">
        <v>331</v>
      </c>
      <c r="F244" s="29">
        <f>+F246</f>
        <v>36532.33</v>
      </c>
      <c r="G244" s="29">
        <f t="shared" ref="G244:L244" si="16">+G246</f>
        <v>36532.33</v>
      </c>
      <c r="H244" s="29">
        <f t="shared" si="16"/>
        <v>0</v>
      </c>
      <c r="I244" s="29">
        <f t="shared" si="16"/>
        <v>10109.405098814228</v>
      </c>
      <c r="J244" s="29">
        <f t="shared" si="16"/>
        <v>18548.140276679842</v>
      </c>
      <c r="K244" s="29">
        <f t="shared" si="16"/>
        <v>27540.235138339922</v>
      </c>
      <c r="L244" s="29">
        <f t="shared" si="16"/>
        <v>36532.33</v>
      </c>
    </row>
    <row r="245" spans="1:12" s="37" customFormat="1" x14ac:dyDescent="0.3">
      <c r="A245" s="36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6">
        <v>2861</v>
      </c>
      <c r="B246" s="32" t="s">
        <v>13</v>
      </c>
      <c r="C246" s="32">
        <v>6</v>
      </c>
      <c r="D246" s="32">
        <v>1</v>
      </c>
      <c r="E246" s="6" t="s">
        <v>331</v>
      </c>
      <c r="F246" s="29">
        <f>+'4.Gorcarakan ev tntesagitakan'!G631</f>
        <v>36532.33</v>
      </c>
      <c r="G246" s="29">
        <f>+'4.Gorcarakan ev tntesagitakan'!H631</f>
        <v>36532.33</v>
      </c>
      <c r="H246" s="29"/>
      <c r="I246" s="29">
        <f>+'4.Gorcarakan ev tntesagitakan'!J631</f>
        <v>10109.405098814228</v>
      </c>
      <c r="J246" s="29">
        <f>+'4.Gorcarakan ev tntesagitakan'!K631</f>
        <v>18548.140276679842</v>
      </c>
      <c r="K246" s="29">
        <f>+'4.Gorcarakan ev tntesagitakan'!L631</f>
        <v>27540.235138339922</v>
      </c>
      <c r="L246" s="29">
        <f>+'4.Gorcarakan ev tntesagitakan'!M631</f>
        <v>36532.33</v>
      </c>
    </row>
    <row r="247" spans="1:12" s="34" customFormat="1" ht="40.5" x14ac:dyDescent="0.25">
      <c r="A247" s="36">
        <v>2900</v>
      </c>
      <c r="B247" s="32" t="s">
        <v>14</v>
      </c>
      <c r="C247" s="32">
        <v>0</v>
      </c>
      <c r="D247" s="32">
        <v>0</v>
      </c>
      <c r="E247" s="5" t="s">
        <v>332</v>
      </c>
      <c r="F247" s="29">
        <f>+F249+F253+F257+F261+F265+F269+F272+F275</f>
        <v>869203.71000000008</v>
      </c>
      <c r="G247" s="29">
        <f t="shared" ref="G247:L247" si="17">+G249+G253+G257+G261+G265+G269+G272+G275</f>
        <v>869203.71000000008</v>
      </c>
      <c r="H247" s="29">
        <f t="shared" si="17"/>
        <v>0</v>
      </c>
      <c r="I247" s="29">
        <f t="shared" si="17"/>
        <v>186122.56053754862</v>
      </c>
      <c r="J247" s="29">
        <f t="shared" si="17"/>
        <v>407738.20794466475</v>
      </c>
      <c r="K247" s="29">
        <f t="shared" si="17"/>
        <v>643765.91944663983</v>
      </c>
      <c r="L247" s="29">
        <f t="shared" si="17"/>
        <v>869203.71000000008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6">
        <v>2910</v>
      </c>
      <c r="B249" s="32" t="s">
        <v>14</v>
      </c>
      <c r="C249" s="32">
        <v>1</v>
      </c>
      <c r="D249" s="32">
        <v>0</v>
      </c>
      <c r="E249" s="5" t="s">
        <v>333</v>
      </c>
      <c r="F249" s="29">
        <f>+F251</f>
        <v>817401.95400000003</v>
      </c>
      <c r="G249" s="29">
        <f t="shared" ref="G249:L249" si="18">+G251</f>
        <v>817401.95400000003</v>
      </c>
      <c r="H249" s="29">
        <f t="shared" si="18"/>
        <v>0</v>
      </c>
      <c r="I249" s="29">
        <f t="shared" si="18"/>
        <v>171577.31511857628</v>
      </c>
      <c r="J249" s="29">
        <f t="shared" si="18"/>
        <v>381294.2863715422</v>
      </c>
      <c r="K249" s="29">
        <f t="shared" si="18"/>
        <v>604643.08066007856</v>
      </c>
      <c r="L249" s="29">
        <f t="shared" si="18"/>
        <v>817401.95400000003</v>
      </c>
    </row>
    <row r="250" spans="1:12" s="37" customFormat="1" x14ac:dyDescent="0.3">
      <c r="A250" s="36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6">
        <v>2911</v>
      </c>
      <c r="B251" s="32" t="s">
        <v>14</v>
      </c>
      <c r="C251" s="32">
        <v>1</v>
      </c>
      <c r="D251" s="32">
        <v>1</v>
      </c>
      <c r="E251" s="5" t="s">
        <v>334</v>
      </c>
      <c r="F251" s="29">
        <f>+'4.Gorcarakan ev tntesagitakan'!G642</f>
        <v>817401.95400000003</v>
      </c>
      <c r="G251" s="29">
        <f>+'4.Gorcarakan ev tntesagitakan'!H642</f>
        <v>817401.95400000003</v>
      </c>
      <c r="H251" s="29">
        <f>+'4.Gorcarakan ev tntesagitakan'!I642</f>
        <v>0</v>
      </c>
      <c r="I251" s="29">
        <f>+'4.Gorcarakan ev tntesagitakan'!J642</f>
        <v>171577.31511857628</v>
      </c>
      <c r="J251" s="29">
        <f>+'4.Gorcarakan ev tntesagitakan'!K642</f>
        <v>381294.2863715422</v>
      </c>
      <c r="K251" s="29">
        <f>+'4.Gorcarakan ev tntesagitakan'!L642</f>
        <v>604643.08066007856</v>
      </c>
      <c r="L251" s="29">
        <f>+'4.Gorcarakan ev tntesagitakan'!M642</f>
        <v>817401.95400000003</v>
      </c>
    </row>
    <row r="252" spans="1:12" x14ac:dyDescent="0.3">
      <c r="A252" s="36">
        <v>2912</v>
      </c>
      <c r="B252" s="32" t="s">
        <v>14</v>
      </c>
      <c r="C252" s="32">
        <v>1</v>
      </c>
      <c r="D252" s="32">
        <v>2</v>
      </c>
      <c r="E252" s="5" t="s">
        <v>335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6">
        <v>2920</v>
      </c>
      <c r="B253" s="32" t="s">
        <v>14</v>
      </c>
      <c r="C253" s="32">
        <v>2</v>
      </c>
      <c r="D253" s="32">
        <v>0</v>
      </c>
      <c r="E253" s="5" t="s">
        <v>336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7" customFormat="1" x14ac:dyDescent="0.3">
      <c r="A254" s="36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6">
        <v>2921</v>
      </c>
      <c r="B255" s="32" t="s">
        <v>14</v>
      </c>
      <c r="C255" s="32">
        <v>2</v>
      </c>
      <c r="D255" s="32">
        <v>1</v>
      </c>
      <c r="E255" s="5" t="s">
        <v>337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6">
        <v>2922</v>
      </c>
      <c r="B256" s="32" t="s">
        <v>14</v>
      </c>
      <c r="C256" s="32">
        <v>2</v>
      </c>
      <c r="D256" s="32">
        <v>2</v>
      </c>
      <c r="E256" s="5" t="s">
        <v>338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6">
        <v>2930</v>
      </c>
      <c r="B257" s="32" t="s">
        <v>14</v>
      </c>
      <c r="C257" s="32">
        <v>3</v>
      </c>
      <c r="D257" s="32">
        <v>0</v>
      </c>
      <c r="E257" s="5" t="s">
        <v>339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7" customFormat="1" x14ac:dyDescent="0.3">
      <c r="A258" s="36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6">
        <v>2931</v>
      </c>
      <c r="B259" s="32" t="s">
        <v>14</v>
      </c>
      <c r="C259" s="32">
        <v>3</v>
      </c>
      <c r="D259" s="32">
        <v>1</v>
      </c>
      <c r="E259" s="5" t="s">
        <v>340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6">
        <v>2932</v>
      </c>
      <c r="B260" s="32" t="s">
        <v>14</v>
      </c>
      <c r="C260" s="32">
        <v>3</v>
      </c>
      <c r="D260" s="32">
        <v>2</v>
      </c>
      <c r="E260" s="5" t="s">
        <v>341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6">
        <v>2940</v>
      </c>
      <c r="B261" s="32" t="s">
        <v>14</v>
      </c>
      <c r="C261" s="32">
        <v>4</v>
      </c>
      <c r="D261" s="32">
        <v>0</v>
      </c>
      <c r="E261" s="5" t="s">
        <v>342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7" customFormat="1" x14ac:dyDescent="0.3">
      <c r="A262" s="36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6">
        <v>2941</v>
      </c>
      <c r="B263" s="32" t="s">
        <v>14</v>
      </c>
      <c r="C263" s="32">
        <v>4</v>
      </c>
      <c r="D263" s="32">
        <v>1</v>
      </c>
      <c r="E263" s="5" t="s">
        <v>343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6">
        <v>2942</v>
      </c>
      <c r="B264" s="32" t="s">
        <v>14</v>
      </c>
      <c r="C264" s="32">
        <v>4</v>
      </c>
      <c r="D264" s="32">
        <v>2</v>
      </c>
      <c r="E264" s="5" t="s">
        <v>344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6">
        <v>2950</v>
      </c>
      <c r="B265" s="32" t="s">
        <v>14</v>
      </c>
      <c r="C265" s="32">
        <v>5</v>
      </c>
      <c r="D265" s="32">
        <v>0</v>
      </c>
      <c r="E265" s="5" t="s">
        <v>345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7" customFormat="1" x14ac:dyDescent="0.3">
      <c r="A266" s="36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6">
        <v>2951</v>
      </c>
      <c r="B267" s="32" t="s">
        <v>14</v>
      </c>
      <c r="C267" s="32">
        <v>5</v>
      </c>
      <c r="D267" s="32">
        <v>1</v>
      </c>
      <c r="E267" s="5" t="s">
        <v>346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6">
        <v>2952</v>
      </c>
      <c r="B268" s="32" t="s">
        <v>14</v>
      </c>
      <c r="C268" s="32">
        <v>5</v>
      </c>
      <c r="D268" s="32">
        <v>2</v>
      </c>
      <c r="E268" s="5" t="s">
        <v>347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6">
        <v>2960</v>
      </c>
      <c r="B269" s="32" t="s">
        <v>14</v>
      </c>
      <c r="C269" s="32">
        <v>6</v>
      </c>
      <c r="D269" s="32">
        <v>0</v>
      </c>
      <c r="E269" s="5" t="s">
        <v>348</v>
      </c>
      <c r="F269" s="29">
        <f>+F271</f>
        <v>51801.756000000001</v>
      </c>
      <c r="G269" s="29">
        <f t="shared" ref="G269:L269" si="19">+G271</f>
        <v>51801.756000000001</v>
      </c>
      <c r="H269" s="29">
        <f t="shared" si="19"/>
        <v>0</v>
      </c>
      <c r="I269" s="29">
        <f t="shared" si="19"/>
        <v>14545.245418972332</v>
      </c>
      <c r="J269" s="29">
        <f t="shared" si="19"/>
        <v>26443.921573122534</v>
      </c>
      <c r="K269" s="29">
        <f t="shared" si="19"/>
        <v>39122.838786561268</v>
      </c>
      <c r="L269" s="29">
        <f t="shared" si="19"/>
        <v>51801.756000000001</v>
      </c>
    </row>
    <row r="270" spans="1:12" s="37" customFormat="1" x14ac:dyDescent="0.3">
      <c r="A270" s="36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8">
        <v>2961</v>
      </c>
      <c r="B271" s="32" t="s">
        <v>14</v>
      </c>
      <c r="C271" s="32">
        <v>6</v>
      </c>
      <c r="D271" s="32">
        <v>1</v>
      </c>
      <c r="E271" s="5" t="s">
        <v>348</v>
      </c>
      <c r="F271" s="29">
        <f>+'4.Gorcarakan ev tntesagitakan'!G693</f>
        <v>51801.756000000001</v>
      </c>
      <c r="G271" s="29">
        <f>+'4.Gorcarakan ev tntesagitakan'!H693</f>
        <v>51801.756000000001</v>
      </c>
      <c r="H271" s="29">
        <f>+'4.Gorcarakan ev tntesagitakan'!I693</f>
        <v>0</v>
      </c>
      <c r="I271" s="29">
        <f>+'4.Gorcarakan ev tntesagitakan'!J693</f>
        <v>14545.245418972332</v>
      </c>
      <c r="J271" s="29">
        <f>+'4.Gorcarakan ev tntesagitakan'!K693</f>
        <v>26443.921573122534</v>
      </c>
      <c r="K271" s="29">
        <f>+'4.Gorcarakan ev tntesagitakan'!L693</f>
        <v>39122.838786561268</v>
      </c>
      <c r="L271" s="29">
        <f>+'4.Gorcarakan ev tntesagitakan'!M693</f>
        <v>51801.756000000001</v>
      </c>
    </row>
    <row r="272" spans="1:12" ht="27" x14ac:dyDescent="0.3">
      <c r="A272" s="38">
        <v>2970</v>
      </c>
      <c r="B272" s="32" t="s">
        <v>14</v>
      </c>
      <c r="C272" s="32">
        <v>7</v>
      </c>
      <c r="D272" s="32">
        <v>0</v>
      </c>
      <c r="E272" s="5" t="s">
        <v>349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7" customFormat="1" x14ac:dyDescent="0.3">
      <c r="A273" s="38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8">
        <v>2971</v>
      </c>
      <c r="B274" s="32" t="s">
        <v>14</v>
      </c>
      <c r="C274" s="32">
        <v>7</v>
      </c>
      <c r="D274" s="32">
        <v>1</v>
      </c>
      <c r="E274" s="5" t="s">
        <v>349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8">
        <v>2980</v>
      </c>
      <c r="B275" s="32" t="s">
        <v>14</v>
      </c>
      <c r="C275" s="32">
        <v>8</v>
      </c>
      <c r="D275" s="32">
        <v>0</v>
      </c>
      <c r="E275" s="5" t="s">
        <v>350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7" customFormat="1" x14ac:dyDescent="0.3">
      <c r="A276" s="38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8">
        <v>2981</v>
      </c>
      <c r="B277" s="32" t="s">
        <v>14</v>
      </c>
      <c r="C277" s="32">
        <v>8</v>
      </c>
      <c r="D277" s="32">
        <v>1</v>
      </c>
      <c r="E277" s="5" t="s">
        <v>350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4" customFormat="1" ht="40.5" x14ac:dyDescent="0.25">
      <c r="A278" s="38">
        <v>3000</v>
      </c>
      <c r="B278" s="32" t="s">
        <v>15</v>
      </c>
      <c r="C278" s="32">
        <v>0</v>
      </c>
      <c r="D278" s="32">
        <v>0</v>
      </c>
      <c r="E278" s="5" t="s">
        <v>351</v>
      </c>
      <c r="F278" s="29">
        <f>+F280+F284+F287+F290+F293+F296+F299+F302+F306</f>
        <v>70565</v>
      </c>
      <c r="G278" s="29">
        <f t="shared" ref="G278:L278" si="20">+G280+G284+G287+G290+G293+G296+G299+G302+G306</f>
        <v>70565</v>
      </c>
      <c r="H278" s="29">
        <f t="shared" si="20"/>
        <v>0</v>
      </c>
      <c r="I278" s="29">
        <f t="shared" si="20"/>
        <v>16548.557312253295</v>
      </c>
      <c r="J278" s="29">
        <f t="shared" si="20"/>
        <v>35289.110671936927</v>
      </c>
      <c r="K278" s="29">
        <f>+K280+K284+K287+K290+K293+K296+K299+K302+K306</f>
        <v>50587.134387352278</v>
      </c>
      <c r="L278" s="29">
        <f t="shared" si="20"/>
        <v>70565</v>
      </c>
    </row>
    <row r="279" spans="1:12" x14ac:dyDescent="0.3">
      <c r="A279" s="38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8">
        <v>3010</v>
      </c>
      <c r="B280" s="32" t="s">
        <v>15</v>
      </c>
      <c r="C280" s="32">
        <v>1</v>
      </c>
      <c r="D280" s="32">
        <v>0</v>
      </c>
      <c r="E280" s="5" t="s">
        <v>352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7" customFormat="1" x14ac:dyDescent="0.3">
      <c r="A281" s="38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8">
        <v>3011</v>
      </c>
      <c r="B282" s="32" t="s">
        <v>15</v>
      </c>
      <c r="C282" s="32">
        <v>1</v>
      </c>
      <c r="D282" s="32">
        <v>1</v>
      </c>
      <c r="E282" s="5" t="s">
        <v>353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8">
        <v>3012</v>
      </c>
      <c r="B283" s="32" t="s">
        <v>15</v>
      </c>
      <c r="C283" s="32">
        <v>1</v>
      </c>
      <c r="D283" s="32">
        <v>2</v>
      </c>
      <c r="E283" s="5" t="s">
        <v>354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8">
        <v>3020</v>
      </c>
      <c r="B284" s="32" t="s">
        <v>15</v>
      </c>
      <c r="C284" s="32">
        <v>2</v>
      </c>
      <c r="D284" s="32">
        <v>0</v>
      </c>
      <c r="E284" s="5" t="s">
        <v>355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7" customFormat="1" x14ac:dyDescent="0.3">
      <c r="A285" s="38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8">
        <v>3021</v>
      </c>
      <c r="B286" s="32" t="s">
        <v>15</v>
      </c>
      <c r="C286" s="32">
        <v>2</v>
      </c>
      <c r="D286" s="32">
        <v>1</v>
      </c>
      <c r="E286" s="5" t="s">
        <v>355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8">
        <v>3030</v>
      </c>
      <c r="B287" s="32" t="s">
        <v>15</v>
      </c>
      <c r="C287" s="32">
        <v>3</v>
      </c>
      <c r="D287" s="32">
        <v>0</v>
      </c>
      <c r="E287" s="5" t="s">
        <v>356</v>
      </c>
      <c r="F287" s="29">
        <f>+F289</f>
        <v>2500</v>
      </c>
      <c r="G287" s="29">
        <f t="shared" ref="G287:L287" si="21">+G289</f>
        <v>2500</v>
      </c>
      <c r="H287" s="29">
        <f t="shared" si="21"/>
        <v>0</v>
      </c>
      <c r="I287" s="29">
        <f t="shared" si="21"/>
        <v>612.6482213438735</v>
      </c>
      <c r="J287" s="29">
        <f t="shared" si="21"/>
        <v>1215.4150197628458</v>
      </c>
      <c r="K287" s="29">
        <f t="shared" si="21"/>
        <v>1857.707509881423</v>
      </c>
      <c r="L287" s="29">
        <f t="shared" si="21"/>
        <v>2500</v>
      </c>
    </row>
    <row r="288" spans="1:12" s="37" customFormat="1" x14ac:dyDescent="0.3">
      <c r="A288" s="38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7" customFormat="1" x14ac:dyDescent="0.3">
      <c r="A289" s="38">
        <v>3031</v>
      </c>
      <c r="B289" s="32" t="s">
        <v>15</v>
      </c>
      <c r="C289" s="32">
        <v>3</v>
      </c>
      <c r="D289" s="32" t="s">
        <v>4</v>
      </c>
      <c r="E289" s="5" t="s">
        <v>356</v>
      </c>
      <c r="F289" s="29">
        <f>+'4.Gorcarakan ev tntesagitakan'!G724</f>
        <v>2500</v>
      </c>
      <c r="G289" s="29">
        <f>+'4.Gorcarakan ev tntesagitakan'!H724</f>
        <v>2500</v>
      </c>
      <c r="H289" s="29"/>
      <c r="I289" s="29">
        <f>+'4.Gorcarakan ev tntesagitakan'!J724</f>
        <v>612.6482213438735</v>
      </c>
      <c r="J289" s="29">
        <f>+'4.Gorcarakan ev tntesagitakan'!K724</f>
        <v>1215.4150197628458</v>
      </c>
      <c r="K289" s="29">
        <f>+'4.Gorcarakan ev tntesagitakan'!L724</f>
        <v>1857.707509881423</v>
      </c>
      <c r="L289" s="29">
        <f>+'4.Gorcarakan ev tntesagitakan'!M724</f>
        <v>2500</v>
      </c>
    </row>
    <row r="290" spans="1:12" x14ac:dyDescent="0.3">
      <c r="A290" s="38">
        <v>3040</v>
      </c>
      <c r="B290" s="32" t="s">
        <v>15</v>
      </c>
      <c r="C290" s="32">
        <v>4</v>
      </c>
      <c r="D290" s="32">
        <v>0</v>
      </c>
      <c r="E290" s="5" t="s">
        <v>357</v>
      </c>
      <c r="F290" s="29">
        <f>+F292</f>
        <v>40305</v>
      </c>
      <c r="G290" s="29">
        <f>+G292</f>
        <v>40305</v>
      </c>
      <c r="H290" s="29">
        <f>+H292</f>
        <v>0</v>
      </c>
      <c r="I290" s="29">
        <f>+'4.Gorcarakan ev tntesagitakan'!J730</f>
        <v>9133.0632411070492</v>
      </c>
      <c r="J290" s="29">
        <f>+'4.Gorcarakan ev tntesagitakan'!K730</f>
        <v>19550.059288537723</v>
      </c>
      <c r="K290" s="29">
        <f>+'4.Gorcarakan ev tntesagitakan'!L730</f>
        <v>27073.774703557814</v>
      </c>
      <c r="L290" s="29">
        <f>+'4.Gorcarakan ev tntesagitakan'!M730</f>
        <v>40305</v>
      </c>
    </row>
    <row r="291" spans="1:12" s="37" customFormat="1" x14ac:dyDescent="0.3">
      <c r="A291" s="38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8">
        <v>3041</v>
      </c>
      <c r="B292" s="32" t="s">
        <v>15</v>
      </c>
      <c r="C292" s="32">
        <v>4</v>
      </c>
      <c r="D292" s="32">
        <v>1</v>
      </c>
      <c r="E292" s="5" t="s">
        <v>357</v>
      </c>
      <c r="F292" s="29">
        <f>+'4.Gorcarakan ev tntesagitakan'!G730</f>
        <v>40305</v>
      </c>
      <c r="G292" s="29">
        <f>+'4.Gorcarakan ev tntesagitakan'!H730</f>
        <v>40305</v>
      </c>
      <c r="H292" s="29">
        <f>+'4.Gorcarakan ev tntesagitakan'!I730</f>
        <v>0</v>
      </c>
      <c r="I292" s="29">
        <f>+'4.Gorcarakan ev tntesagitakan'!J730</f>
        <v>9133.0632411070492</v>
      </c>
      <c r="J292" s="29">
        <f>+'4.Gorcarakan ev tntesagitakan'!K730</f>
        <v>19550.059288537723</v>
      </c>
      <c r="K292" s="29">
        <f>+'4.Gorcarakan ev tntesagitakan'!L730</f>
        <v>27073.774703557814</v>
      </c>
      <c r="L292" s="29">
        <f>+'4.Gorcarakan ev tntesagitakan'!M730</f>
        <v>40305</v>
      </c>
    </row>
    <row r="293" spans="1:12" x14ac:dyDescent="0.3">
      <c r="A293" s="38">
        <v>3050</v>
      </c>
      <c r="B293" s="32" t="s">
        <v>15</v>
      </c>
      <c r="C293" s="32">
        <v>5</v>
      </c>
      <c r="D293" s="32">
        <v>0</v>
      </c>
      <c r="E293" s="5" t="s">
        <v>358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7" customFormat="1" x14ac:dyDescent="0.3">
      <c r="A294" s="38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8">
        <v>3051</v>
      </c>
      <c r="B295" s="32" t="s">
        <v>15</v>
      </c>
      <c r="C295" s="32">
        <v>5</v>
      </c>
      <c r="D295" s="32">
        <v>1</v>
      </c>
      <c r="E295" s="5" t="s">
        <v>358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8">
        <v>3060</v>
      </c>
      <c r="B296" s="32" t="s">
        <v>15</v>
      </c>
      <c r="C296" s="32">
        <v>6</v>
      </c>
      <c r="D296" s="32">
        <v>0</v>
      </c>
      <c r="E296" s="5" t="s">
        <v>359</v>
      </c>
      <c r="F296" s="29">
        <f>+F298</f>
        <v>1260</v>
      </c>
      <c r="G296" s="29">
        <f t="shared" ref="G296:L296" si="22">+G298</f>
        <v>1260</v>
      </c>
      <c r="H296" s="29">
        <f t="shared" si="22"/>
        <v>0</v>
      </c>
      <c r="I296" s="29">
        <f t="shared" si="22"/>
        <v>308.77470355731225</v>
      </c>
      <c r="J296" s="29">
        <f t="shared" si="22"/>
        <v>612.56916996047426</v>
      </c>
      <c r="K296" s="29">
        <f t="shared" si="22"/>
        <v>936.28458498023713</v>
      </c>
      <c r="L296" s="29">
        <f t="shared" si="22"/>
        <v>1260</v>
      </c>
    </row>
    <row r="297" spans="1:12" s="37" customFormat="1" x14ac:dyDescent="0.3">
      <c r="A297" s="38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8">
        <v>3061</v>
      </c>
      <c r="B298" s="32" t="s">
        <v>15</v>
      </c>
      <c r="C298" s="32">
        <v>6</v>
      </c>
      <c r="D298" s="32">
        <v>1</v>
      </c>
      <c r="E298" s="5" t="s">
        <v>359</v>
      </c>
      <c r="F298" s="29">
        <f>+'4.Gorcarakan ev tntesagitakan'!G739</f>
        <v>1260</v>
      </c>
      <c r="G298" s="29">
        <f>+'4.Gorcarakan ev tntesagitakan'!H739</f>
        <v>1260</v>
      </c>
      <c r="H298" s="29">
        <f>+'4.Gorcarakan ev tntesagitakan'!I739</f>
        <v>0</v>
      </c>
      <c r="I298" s="29">
        <f>+'4.Gorcarakan ev tntesagitakan'!J739</f>
        <v>308.77470355731225</v>
      </c>
      <c r="J298" s="29">
        <f>+'4.Gorcarakan ev tntesagitakan'!K739</f>
        <v>612.56916996047426</v>
      </c>
      <c r="K298" s="29">
        <f>+'4.Gorcarakan ev tntesagitakan'!L739</f>
        <v>936.28458498023713</v>
      </c>
      <c r="L298" s="29">
        <f>+'4.Gorcarakan ev tntesagitakan'!M739</f>
        <v>1260</v>
      </c>
    </row>
    <row r="299" spans="1:12" ht="27" x14ac:dyDescent="0.3">
      <c r="A299" s="38">
        <v>3070</v>
      </c>
      <c r="B299" s="32" t="s">
        <v>15</v>
      </c>
      <c r="C299" s="32">
        <v>7</v>
      </c>
      <c r="D299" s="32">
        <v>0</v>
      </c>
      <c r="E299" s="5" t="s">
        <v>360</v>
      </c>
      <c r="F299" s="29">
        <f>+F301</f>
        <v>26500</v>
      </c>
      <c r="G299" s="29">
        <f t="shared" ref="G299:L299" si="23">+G301</f>
        <v>26500</v>
      </c>
      <c r="H299" s="29">
        <f t="shared" si="23"/>
        <v>0</v>
      </c>
      <c r="I299" s="29">
        <f t="shared" si="23"/>
        <v>6494.071146245059</v>
      </c>
      <c r="J299" s="29">
        <f t="shared" si="23"/>
        <v>13911.067193675888</v>
      </c>
      <c r="K299" s="29">
        <f t="shared" si="23"/>
        <v>20719.367588932804</v>
      </c>
      <c r="L299" s="29">
        <f t="shared" si="23"/>
        <v>26500</v>
      </c>
    </row>
    <row r="300" spans="1:12" s="37" customFormat="1" x14ac:dyDescent="0.3">
      <c r="A300" s="38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8">
        <v>3071</v>
      </c>
      <c r="B301" s="32" t="s">
        <v>15</v>
      </c>
      <c r="C301" s="32">
        <v>7</v>
      </c>
      <c r="D301" s="32">
        <v>1</v>
      </c>
      <c r="E301" s="5" t="s">
        <v>360</v>
      </c>
      <c r="F301" s="29">
        <f>+'4.Gorcarakan ev tntesagitakan'!G746</f>
        <v>26500</v>
      </c>
      <c r="G301" s="29">
        <f>+'4.Gorcarakan ev tntesagitakan'!H746</f>
        <v>26500</v>
      </c>
      <c r="H301" s="29">
        <f>+'4.Gorcarakan ev tntesagitakan'!I746</f>
        <v>0</v>
      </c>
      <c r="I301" s="29">
        <f>+'4.Gorcarakan ev tntesagitakan'!J746</f>
        <v>6494.071146245059</v>
      </c>
      <c r="J301" s="29">
        <f>+'4.Gorcarakan ev tntesagitakan'!K746</f>
        <v>13911.067193675888</v>
      </c>
      <c r="K301" s="29">
        <f>+'4.Gorcarakan ev tntesagitakan'!L746</f>
        <v>20719.367588932804</v>
      </c>
      <c r="L301" s="29">
        <f>+'4.Gorcarakan ev tntesagitakan'!M746</f>
        <v>26500</v>
      </c>
    </row>
    <row r="302" spans="1:12" ht="27" x14ac:dyDescent="0.3">
      <c r="A302" s="38">
        <v>3080</v>
      </c>
      <c r="B302" s="32" t="s">
        <v>15</v>
      </c>
      <c r="C302" s="32">
        <v>8</v>
      </c>
      <c r="D302" s="32">
        <v>0</v>
      </c>
      <c r="E302" s="5" t="s">
        <v>361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7" customFormat="1" x14ac:dyDescent="0.3">
      <c r="A303" s="38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8">
        <v>3081</v>
      </c>
      <c r="B304" s="32" t="s">
        <v>15</v>
      </c>
      <c r="C304" s="32">
        <v>8</v>
      </c>
      <c r="D304" s="32">
        <v>1</v>
      </c>
      <c r="E304" s="5" t="s">
        <v>361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7" customFormat="1" x14ac:dyDescent="0.3">
      <c r="A305" s="38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8">
        <v>3090</v>
      </c>
      <c r="B306" s="32" t="s">
        <v>15</v>
      </c>
      <c r="C306" s="32">
        <v>9</v>
      </c>
      <c r="D306" s="32">
        <v>0</v>
      </c>
      <c r="E306" s="5" t="s">
        <v>362</v>
      </c>
      <c r="F306" s="29">
        <f>+F308</f>
        <v>0</v>
      </c>
      <c r="G306" s="29">
        <f t="shared" ref="G306:L306" si="24">+G308</f>
        <v>0</v>
      </c>
      <c r="H306" s="29"/>
      <c r="I306" s="29">
        <f t="shared" si="24"/>
        <v>0</v>
      </c>
      <c r="J306" s="29">
        <f t="shared" si="24"/>
        <v>0</v>
      </c>
      <c r="K306" s="29">
        <f t="shared" si="24"/>
        <v>0</v>
      </c>
      <c r="L306" s="29">
        <f t="shared" si="24"/>
        <v>0</v>
      </c>
    </row>
    <row r="307" spans="1:12" s="37" customFormat="1" x14ac:dyDescent="0.3">
      <c r="A307" s="38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8">
        <v>3091</v>
      </c>
      <c r="B308" s="32" t="s">
        <v>15</v>
      </c>
      <c r="C308" s="32">
        <v>9</v>
      </c>
      <c r="D308" s="32">
        <v>1</v>
      </c>
      <c r="E308" s="5" t="s">
        <v>362</v>
      </c>
      <c r="F308" s="29">
        <f>+'4.Gorcarakan ev tntesagitakan'!G759</f>
        <v>0</v>
      </c>
      <c r="G308" s="29">
        <f>+'4.Gorcarakan ev tntesagitakan'!H759</f>
        <v>0</v>
      </c>
      <c r="H308" s="29"/>
      <c r="I308" s="29">
        <f>+'4.Gorcarakan ev tntesagitakan'!J759</f>
        <v>0</v>
      </c>
      <c r="J308" s="29">
        <f>+'4.Gorcarakan ev tntesagitakan'!K759</f>
        <v>0</v>
      </c>
      <c r="K308" s="29">
        <f>+'4.Gorcarakan ev tntesagitakan'!L759</f>
        <v>0</v>
      </c>
      <c r="L308" s="29">
        <f>+'4.Gorcarakan ev tntesagitakan'!M759</f>
        <v>0</v>
      </c>
    </row>
    <row r="309" spans="1:12" ht="40.5" x14ac:dyDescent="0.3">
      <c r="A309" s="38">
        <v>3092</v>
      </c>
      <c r="B309" s="32" t="s">
        <v>15</v>
      </c>
      <c r="C309" s="32">
        <v>9</v>
      </c>
      <c r="D309" s="32">
        <v>2</v>
      </c>
      <c r="E309" s="5" t="s">
        <v>363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4" customFormat="1" ht="27" x14ac:dyDescent="0.25">
      <c r="A310" s="39">
        <v>3100</v>
      </c>
      <c r="B310" s="32" t="s">
        <v>16</v>
      </c>
      <c r="C310" s="32">
        <v>0</v>
      </c>
      <c r="D310" s="32">
        <v>0</v>
      </c>
      <c r="E310" s="6" t="s">
        <v>364</v>
      </c>
      <c r="F310" s="29"/>
      <c r="G310" s="29">
        <f t="shared" ref="G310:L310" si="25">+G312</f>
        <v>762252.174</v>
      </c>
      <c r="H310" s="29">
        <f t="shared" si="25"/>
        <v>762252.174</v>
      </c>
      <c r="I310" s="29">
        <f t="shared" si="25"/>
        <v>282033.30437999999</v>
      </c>
      <c r="J310" s="29">
        <f t="shared" si="25"/>
        <v>396371.13047999999</v>
      </c>
      <c r="K310" s="29">
        <f t="shared" si="25"/>
        <v>510708.95658</v>
      </c>
      <c r="L310" s="29">
        <f t="shared" si="25"/>
        <v>762252.174</v>
      </c>
    </row>
    <row r="311" spans="1:12" x14ac:dyDescent="0.3">
      <c r="A311" s="39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9">
        <v>3110</v>
      </c>
      <c r="B312" s="32" t="s">
        <v>16</v>
      </c>
      <c r="C312" s="32">
        <v>1</v>
      </c>
      <c r="D312" s="32">
        <v>0</v>
      </c>
      <c r="E312" s="6" t="s">
        <v>365</v>
      </c>
      <c r="F312" s="29"/>
      <c r="G312" s="29">
        <f t="shared" ref="G312:L312" si="26">+G314</f>
        <v>762252.174</v>
      </c>
      <c r="H312" s="29">
        <f t="shared" si="26"/>
        <v>762252.174</v>
      </c>
      <c r="I312" s="29">
        <f t="shared" si="26"/>
        <v>282033.30437999999</v>
      </c>
      <c r="J312" s="29">
        <f t="shared" si="26"/>
        <v>396371.13047999999</v>
      </c>
      <c r="K312" s="29">
        <f t="shared" si="26"/>
        <v>510708.95658</v>
      </c>
      <c r="L312" s="29">
        <f t="shared" si="26"/>
        <v>762252.174</v>
      </c>
    </row>
    <row r="313" spans="1:12" s="37" customFormat="1" x14ac:dyDescent="0.3">
      <c r="A313" s="39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40">
        <v>3112</v>
      </c>
      <c r="B314" s="32" t="s">
        <v>16</v>
      </c>
      <c r="C314" s="32">
        <v>1</v>
      </c>
      <c r="D314" s="32">
        <v>2</v>
      </c>
      <c r="E314" s="6" t="s">
        <v>366</v>
      </c>
      <c r="F314" s="29"/>
      <c r="G314" s="29">
        <f>+'4.Gorcarakan ev tntesagitakan'!H779</f>
        <v>762252.174</v>
      </c>
      <c r="H314" s="29">
        <f>+'4.Gorcarakan ev tntesagitakan'!I779</f>
        <v>762252.174</v>
      </c>
      <c r="I314" s="29">
        <f>+'4.Gorcarakan ev tntesagitakan'!J779</f>
        <v>282033.30437999999</v>
      </c>
      <c r="J314" s="29">
        <f>+'4.Gorcarakan ev tntesagitakan'!K779</f>
        <v>396371.13047999999</v>
      </c>
      <c r="K314" s="29">
        <f>+'4.Gorcarakan ev tntesagitakan'!L779</f>
        <v>510708.95658</v>
      </c>
      <c r="L314" s="29">
        <f>+'4.Gorcarakan ev tntesagitakan'!M779</f>
        <v>762252.174</v>
      </c>
    </row>
    <row r="315" spans="1:12" x14ac:dyDescent="0.3">
      <c r="B315" s="42"/>
      <c r="C315" s="43"/>
      <c r="D315" s="44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9">
    <mergeCell ref="J9:L9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J6:L6"/>
    <mergeCell ref="J7:L7"/>
    <mergeCell ref="J8:L8"/>
    <mergeCell ref="J1:L1"/>
    <mergeCell ref="J2:L2"/>
    <mergeCell ref="J3:L3"/>
    <mergeCell ref="J5:L5"/>
    <mergeCell ref="J4:L4"/>
  </mergeCells>
  <pageMargins left="0.95" right="0.2" top="0.25" bottom="0.25" header="0" footer="0"/>
  <pageSetup paperSize="9" scale="50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6"/>
  <sheetViews>
    <sheetView topLeftCell="A225" workbookViewId="0">
      <selection activeCell="A11" sqref="A11:J11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2" bestFit="1" customWidth="1"/>
    <col min="4" max="4" width="16.140625" style="2" customWidth="1"/>
    <col min="5" max="10" width="13.42578125" style="2" customWidth="1"/>
    <col min="11" max="11" width="12.85546875" style="2" hidden="1" customWidth="1"/>
    <col min="12" max="12" width="11" style="2" hidden="1" customWidth="1"/>
    <col min="13" max="13" width="9.7109375" style="2" hidden="1" customWidth="1"/>
    <col min="14" max="14" width="8.7109375" style="2" hidden="1" customWidth="1"/>
    <col min="15" max="15" width="9" style="2" hidden="1" customWidth="1"/>
    <col min="16" max="17" width="9.7109375" style="2" hidden="1" customWidth="1"/>
    <col min="18" max="16384" width="9.140625" style="2"/>
  </cols>
  <sheetData>
    <row r="1" spans="1:16" x14ac:dyDescent="0.25">
      <c r="G1" s="253"/>
      <c r="H1" s="253"/>
      <c r="I1" s="253"/>
      <c r="J1" s="253"/>
      <c r="K1" s="200"/>
    </row>
    <row r="2" spans="1:16" s="90" customFormat="1" ht="13.5" customHeight="1" x14ac:dyDescent="0.25">
      <c r="A2" s="92"/>
      <c r="C2" s="92"/>
      <c r="E2" s="92"/>
      <c r="F2" s="92"/>
      <c r="G2" s="254"/>
      <c r="H2" s="254"/>
      <c r="I2" s="254"/>
      <c r="J2" s="254"/>
    </row>
    <row r="3" spans="1:16" s="90" customFormat="1" ht="13.5" customHeight="1" x14ac:dyDescent="0.25">
      <c r="A3" s="92"/>
      <c r="C3" s="92"/>
      <c r="E3" s="92"/>
      <c r="F3" s="92"/>
      <c r="G3" s="254"/>
      <c r="H3" s="254"/>
      <c r="I3" s="254"/>
      <c r="J3" s="254"/>
    </row>
    <row r="4" spans="1:16" s="90" customFormat="1" ht="13.5" customHeight="1" x14ac:dyDescent="0.25">
      <c r="A4" s="92"/>
      <c r="C4" s="92"/>
      <c r="E4" s="92"/>
      <c r="F4" s="92"/>
      <c r="G4" s="255"/>
      <c r="H4" s="255"/>
      <c r="I4" s="255"/>
      <c r="J4" s="255"/>
    </row>
    <row r="5" spans="1:16" s="90" customFormat="1" ht="18" customHeight="1" x14ac:dyDescent="0.25">
      <c r="A5" s="92"/>
      <c r="C5" s="92"/>
      <c r="E5" s="92"/>
      <c r="F5" s="92"/>
      <c r="G5" s="253" t="s">
        <v>870</v>
      </c>
      <c r="H5" s="253"/>
      <c r="I5" s="253"/>
      <c r="J5" s="253"/>
    </row>
    <row r="6" spans="1:16" s="90" customFormat="1" ht="13.5" customHeight="1" x14ac:dyDescent="0.25">
      <c r="A6" s="92"/>
      <c r="C6" s="92"/>
      <c r="E6" s="92"/>
      <c r="F6" s="92"/>
      <c r="G6" s="254" t="s">
        <v>602</v>
      </c>
      <c r="H6" s="254"/>
      <c r="I6" s="254"/>
      <c r="J6" s="254"/>
    </row>
    <row r="7" spans="1:16" s="90" customFormat="1" ht="13.5" customHeight="1" x14ac:dyDescent="0.25">
      <c r="A7" s="92"/>
      <c r="C7" s="92"/>
      <c r="E7" s="92"/>
      <c r="F7" s="92"/>
      <c r="G7" s="254" t="s">
        <v>862</v>
      </c>
      <c r="H7" s="254"/>
      <c r="I7" s="254"/>
      <c r="J7" s="254"/>
    </row>
    <row r="8" spans="1:16" s="90" customFormat="1" ht="13.5" customHeight="1" x14ac:dyDescent="0.25">
      <c r="A8" s="92"/>
      <c r="C8" s="92"/>
      <c r="E8" s="92"/>
      <c r="F8" s="92"/>
      <c r="G8" s="255" t="s">
        <v>871</v>
      </c>
      <c r="H8" s="255"/>
      <c r="I8" s="255"/>
      <c r="J8" s="255"/>
    </row>
    <row r="9" spans="1:16" s="19" customFormat="1" ht="12.75" customHeight="1" x14ac:dyDescent="0.25">
      <c r="A9" s="17"/>
      <c r="B9" s="18"/>
      <c r="C9" s="17"/>
      <c r="E9" s="17"/>
      <c r="F9" s="17"/>
      <c r="L9" s="201"/>
    </row>
    <row r="10" spans="1:16" ht="17.25" x14ac:dyDescent="0.3">
      <c r="A10" s="257" t="s">
        <v>605</v>
      </c>
      <c r="B10" s="257"/>
      <c r="C10" s="257"/>
      <c r="D10" s="257"/>
      <c r="E10" s="257"/>
      <c r="F10" s="257"/>
      <c r="G10" s="257"/>
      <c r="H10" s="19"/>
      <c r="I10" s="19"/>
      <c r="J10" s="19"/>
      <c r="K10" s="19"/>
      <c r="L10" s="201"/>
    </row>
    <row r="11" spans="1:16" ht="32.25" customHeight="1" x14ac:dyDescent="0.25">
      <c r="A11" s="256" t="s">
        <v>140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24"/>
      <c r="L11" s="19"/>
    </row>
    <row r="12" spans="1:16" ht="17.25" x14ac:dyDescent="0.25">
      <c r="A12" s="224"/>
      <c r="B12" s="224"/>
      <c r="C12" s="224"/>
      <c r="D12" s="202"/>
      <c r="E12" s="202"/>
      <c r="F12" s="202"/>
      <c r="G12" s="202"/>
      <c r="H12" s="202"/>
      <c r="I12" s="202"/>
      <c r="J12" s="202"/>
      <c r="K12" s="202"/>
      <c r="L12" s="19"/>
      <c r="O12" s="154"/>
    </row>
    <row r="13" spans="1:16" ht="16.5" customHeight="1" x14ac:dyDescent="0.3">
      <c r="A13" s="203"/>
      <c r="B13" s="49"/>
      <c r="C13" s="49"/>
      <c r="D13" s="203"/>
      <c r="E13" s="258" t="s">
        <v>18</v>
      </c>
      <c r="F13" s="258"/>
      <c r="L13" s="19"/>
      <c r="M13" s="154"/>
      <c r="N13" s="154"/>
      <c r="O13" s="154"/>
      <c r="P13" s="154"/>
    </row>
    <row r="14" spans="1:16" ht="17.25" customHeight="1" x14ac:dyDescent="0.25">
      <c r="A14" s="259" t="s">
        <v>373</v>
      </c>
      <c r="B14" s="250" t="s">
        <v>374</v>
      </c>
      <c r="C14" s="250"/>
      <c r="D14" s="250" t="s">
        <v>370</v>
      </c>
      <c r="E14" s="250" t="s">
        <v>154</v>
      </c>
      <c r="F14" s="250"/>
      <c r="G14" s="245" t="s">
        <v>369</v>
      </c>
      <c r="H14" s="246"/>
      <c r="I14" s="246"/>
      <c r="J14" s="247"/>
      <c r="K14" s="138"/>
      <c r="L14" s="19"/>
    </row>
    <row r="15" spans="1:16" ht="27" x14ac:dyDescent="0.25">
      <c r="A15" s="259"/>
      <c r="B15" s="250"/>
      <c r="C15" s="250"/>
      <c r="D15" s="250"/>
      <c r="E15" s="223" t="s">
        <v>371</v>
      </c>
      <c r="F15" s="223" t="s">
        <v>372</v>
      </c>
      <c r="G15" s="225" t="s">
        <v>188</v>
      </c>
      <c r="H15" s="225" t="s">
        <v>189</v>
      </c>
      <c r="I15" s="225" t="s">
        <v>190</v>
      </c>
      <c r="J15" s="225" t="s">
        <v>191</v>
      </c>
      <c r="K15" s="17"/>
      <c r="L15" s="19"/>
    </row>
    <row r="16" spans="1:16" x14ac:dyDescent="0.25">
      <c r="A16" s="50">
        <v>1</v>
      </c>
      <c r="B16" s="51">
        <v>2</v>
      </c>
      <c r="C16" s="50" t="s">
        <v>6</v>
      </c>
      <c r="D16" s="225">
        <v>4</v>
      </c>
      <c r="E16" s="225">
        <v>5</v>
      </c>
      <c r="F16" s="223">
        <v>6</v>
      </c>
      <c r="G16" s="222">
        <v>7</v>
      </c>
      <c r="H16" s="223">
        <v>8</v>
      </c>
      <c r="I16" s="223">
        <v>9</v>
      </c>
      <c r="J16" s="223">
        <v>10</v>
      </c>
      <c r="K16" s="138"/>
      <c r="L16" s="19"/>
    </row>
    <row r="17" spans="1:17" ht="33" x14ac:dyDescent="0.25">
      <c r="A17" s="51">
        <v>4000</v>
      </c>
      <c r="B17" s="69" t="s">
        <v>375</v>
      </c>
      <c r="C17" s="52"/>
      <c r="D17" s="21">
        <f>SUM(D19,D178,D213)</f>
        <v>7061362.3550999984</v>
      </c>
      <c r="E17" s="21">
        <f t="shared" ref="E17" si="0">SUM(E19,E178,E213)</f>
        <v>6013610.6689999998</v>
      </c>
      <c r="F17" s="21">
        <f>SUM(F178,F213)</f>
        <v>1810003.8601000002</v>
      </c>
      <c r="G17" s="21">
        <f t="shared" ref="G17:J17" si="1">SUM(G19,G178,G213)</f>
        <v>2340167.222740869</v>
      </c>
      <c r="H17" s="21">
        <f t="shared" si="1"/>
        <v>3713677.8601886909</v>
      </c>
      <c r="I17" s="21">
        <f t="shared" si="1"/>
        <v>5523869.8522452153</v>
      </c>
      <c r="J17" s="21">
        <f t="shared" si="1"/>
        <v>7061362.3550999984</v>
      </c>
      <c r="K17" s="33">
        <f>+D17-'4.Gorcarakan ev tntesagitakan'!G15</f>
        <v>0</v>
      </c>
      <c r="L17" s="33">
        <f>+E17-'4.Gorcarakan ev tntesagitakan'!H15</f>
        <v>0</v>
      </c>
      <c r="M17" s="33">
        <f>+F17-'4.Gorcarakan ev tntesagitakan'!I15</f>
        <v>0</v>
      </c>
      <c r="N17" s="33">
        <f>+G17-'4.Gorcarakan ev tntesagitakan'!J15</f>
        <v>0</v>
      </c>
      <c r="O17" s="33">
        <f>+H17-'4.Gorcarakan ev tntesagitakan'!K15</f>
        <v>0</v>
      </c>
      <c r="P17" s="33">
        <f>+I17-'4.Gorcarakan ev tntesagitakan'!L15</f>
        <v>0</v>
      </c>
      <c r="Q17" s="33">
        <f>+J17-'4.Gorcarakan ev tntesagitakan'!M15</f>
        <v>0</v>
      </c>
    </row>
    <row r="18" spans="1:17" x14ac:dyDescent="0.25">
      <c r="A18" s="51"/>
      <c r="B18" s="11" t="s">
        <v>376</v>
      </c>
      <c r="C18" s="52"/>
      <c r="D18" s="21"/>
      <c r="E18" s="21"/>
      <c r="F18" s="21"/>
      <c r="G18" s="21"/>
      <c r="H18" s="21"/>
      <c r="I18" s="21"/>
      <c r="J18" s="21"/>
      <c r="K18" s="33"/>
      <c r="L18" s="19"/>
      <c r="M18" s="154"/>
    </row>
    <row r="19" spans="1:17" ht="63.75" customHeight="1" x14ac:dyDescent="0.25">
      <c r="A19" s="51">
        <v>4050</v>
      </c>
      <c r="B19" s="8" t="s">
        <v>538</v>
      </c>
      <c r="C19" s="53" t="s">
        <v>19</v>
      </c>
      <c r="D19" s="21">
        <f t="shared" ref="D19:E19" si="2">+D21+D34+D77+D92+D102+D134+D149</f>
        <v>5251358.4949999992</v>
      </c>
      <c r="E19" s="21">
        <f t="shared" si="2"/>
        <v>6013610.6689999998</v>
      </c>
      <c r="F19" s="21">
        <f>SUM(F21,F34,F77,F92,F102,F134,F149,)</f>
        <v>762252.174</v>
      </c>
      <c r="G19" s="21">
        <f t="shared" ref="G19:J19" si="3">+G21+G34+G77+G92+G102+G134+G149</f>
        <v>1418450.1562608697</v>
      </c>
      <c r="H19" s="21">
        <f t="shared" si="3"/>
        <v>2677622.9676086963</v>
      </c>
      <c r="I19" s="21">
        <f t="shared" si="3"/>
        <v>3965409.2095652176</v>
      </c>
      <c r="J19" s="21">
        <f t="shared" si="3"/>
        <v>5251358.4949999992</v>
      </c>
      <c r="K19" s="33">
        <f>+D19-J19</f>
        <v>0</v>
      </c>
      <c r="L19" s="19"/>
      <c r="M19" s="154"/>
      <c r="O19" s="154"/>
    </row>
    <row r="20" spans="1:17" x14ac:dyDescent="0.25">
      <c r="A20" s="51"/>
      <c r="B20" s="11" t="s">
        <v>376</v>
      </c>
      <c r="C20" s="52"/>
      <c r="D20" s="21"/>
      <c r="E20" s="21"/>
      <c r="F20" s="21"/>
      <c r="G20" s="21"/>
      <c r="H20" s="21"/>
      <c r="I20" s="21"/>
      <c r="J20" s="21"/>
      <c r="K20" s="33">
        <f t="shared" ref="K20:K83" si="4">+D20-J20</f>
        <v>0</v>
      </c>
      <c r="L20" s="19"/>
      <c r="M20" s="154"/>
    </row>
    <row r="21" spans="1:17" ht="37.5" customHeight="1" x14ac:dyDescent="0.25">
      <c r="A21" s="51">
        <v>4100</v>
      </c>
      <c r="B21" s="7" t="s">
        <v>377</v>
      </c>
      <c r="C21" s="54" t="s">
        <v>19</v>
      </c>
      <c r="D21" s="21">
        <f>SUM(D23,D28,D31)</f>
        <v>1446914.8979999998</v>
      </c>
      <c r="E21" s="21">
        <f>SUM(E23,E28,E31)</f>
        <v>1446914.8979999998</v>
      </c>
      <c r="F21" s="21" t="s">
        <v>0</v>
      </c>
      <c r="G21" s="21">
        <f t="shared" ref="G21:J21" si="5">SUM(G23,G28,G31)</f>
        <v>322130.79512648273</v>
      </c>
      <c r="H21" s="21">
        <f t="shared" si="5"/>
        <v>719222.62260474334</v>
      </c>
      <c r="I21" s="21">
        <f t="shared" si="5"/>
        <v>1085758.9004703555</v>
      </c>
      <c r="J21" s="21">
        <f t="shared" si="5"/>
        <v>1446914.8979999998</v>
      </c>
      <c r="K21" s="33">
        <f t="shared" si="4"/>
        <v>0</v>
      </c>
      <c r="L21" s="19"/>
      <c r="M21" s="154"/>
    </row>
    <row r="22" spans="1:17" x14ac:dyDescent="0.25">
      <c r="A22" s="51"/>
      <c r="B22" s="11" t="s">
        <v>376</v>
      </c>
      <c r="C22" s="52"/>
      <c r="D22" s="21"/>
      <c r="E22" s="21"/>
      <c r="F22" s="21"/>
      <c r="G22" s="21"/>
      <c r="H22" s="21"/>
      <c r="I22" s="21"/>
      <c r="J22" s="21"/>
      <c r="K22" s="33">
        <f t="shared" si="4"/>
        <v>0</v>
      </c>
      <c r="L22" s="19"/>
      <c r="M22" s="154"/>
    </row>
    <row r="23" spans="1:17" ht="27" x14ac:dyDescent="0.25">
      <c r="A23" s="51">
        <v>4110</v>
      </c>
      <c r="B23" s="11" t="s">
        <v>378</v>
      </c>
      <c r="C23" s="54" t="s">
        <v>19</v>
      </c>
      <c r="D23" s="21">
        <f>SUM(D25:D27)</f>
        <v>1446914.8979999998</v>
      </c>
      <c r="E23" s="21">
        <f>SUM(E25:E27)</f>
        <v>1446914.8979999998</v>
      </c>
      <c r="F23" s="21" t="s">
        <v>1</v>
      </c>
      <c r="G23" s="21">
        <f t="shared" ref="G23:J23" si="6">SUM(G25:G27)</f>
        <v>322130.79512648273</v>
      </c>
      <c r="H23" s="21">
        <f t="shared" si="6"/>
        <v>719222.62260474334</v>
      </c>
      <c r="I23" s="21">
        <f t="shared" si="6"/>
        <v>1085758.9004703555</v>
      </c>
      <c r="J23" s="21">
        <f t="shared" si="6"/>
        <v>1446914.8979999998</v>
      </c>
      <c r="K23" s="33">
        <f t="shared" si="4"/>
        <v>0</v>
      </c>
      <c r="L23" s="19"/>
      <c r="M23" s="154"/>
    </row>
    <row r="24" spans="1:17" x14ac:dyDescent="0.25">
      <c r="A24" s="51"/>
      <c r="B24" s="11" t="s">
        <v>156</v>
      </c>
      <c r="C24" s="54"/>
      <c r="D24" s="21"/>
      <c r="E24" s="21"/>
      <c r="F24" s="21"/>
      <c r="G24" s="21"/>
      <c r="H24" s="21"/>
      <c r="I24" s="21"/>
      <c r="J24" s="21"/>
      <c r="K24" s="33">
        <f t="shared" si="4"/>
        <v>0</v>
      </c>
      <c r="L24" s="19"/>
      <c r="M24" s="154"/>
    </row>
    <row r="25" spans="1:17" x14ac:dyDescent="0.25">
      <c r="A25" s="51">
        <v>4111</v>
      </c>
      <c r="B25" s="9" t="s">
        <v>379</v>
      </c>
      <c r="C25" s="54" t="s">
        <v>20</v>
      </c>
      <c r="D25" s="21">
        <f>+'4.Gorcarakan ev tntesagitakan'!G21+'4.Gorcarakan ev tntesagitakan'!G80+'4.Gorcarakan ev tntesagitakan'!G360+'4.Gorcarakan ev tntesagitakan'!G401+'4.Gorcarakan ev tntesagitakan'!G450+'4.Gorcarakan ev tntesagitakan'!G761</f>
        <v>1380914.8979999998</v>
      </c>
      <c r="E25" s="21">
        <f>+'4.Gorcarakan ev tntesagitakan'!H21+'4.Gorcarakan ev tntesagitakan'!H80+'4.Gorcarakan ev tntesagitakan'!H360+'4.Gorcarakan ev tntesagitakan'!H401+'4.Gorcarakan ev tntesagitakan'!H450+'4.Gorcarakan ev tntesagitakan'!H761</f>
        <v>1380914.8979999998</v>
      </c>
      <c r="F25" s="21" t="s">
        <v>1</v>
      </c>
      <c r="G25" s="21">
        <f>+'4.Gorcarakan ev tntesagitakan'!J21+'4.Gorcarakan ev tntesagitakan'!J80+'4.Gorcarakan ev tntesagitakan'!J360+'4.Gorcarakan ev tntesagitakan'!J401+'4.Gorcarakan ev tntesagitakan'!J450+'4.Gorcarakan ev tntesagitakan'!J761</f>
        <v>310630.79512648273</v>
      </c>
      <c r="H25" s="21">
        <f>+'4.Gorcarakan ev tntesagitakan'!K21+'4.Gorcarakan ev tntesagitakan'!K80+'4.Gorcarakan ev tntesagitakan'!K360+'4.Gorcarakan ev tntesagitakan'!K401+'4.Gorcarakan ev tntesagitakan'!K450+'4.Gorcarakan ev tntesagitakan'!K761</f>
        <v>686222.62260474334</v>
      </c>
      <c r="I25" s="21">
        <f>+'4.Gorcarakan ev tntesagitakan'!L21+'4.Gorcarakan ev tntesagitakan'!L80+'4.Gorcarakan ev tntesagitakan'!L360+'4.Gorcarakan ev tntesagitakan'!L401+'4.Gorcarakan ev tntesagitakan'!L450+'4.Gorcarakan ev tntesagitakan'!L761</f>
        <v>1036258.9004703554</v>
      </c>
      <c r="J25" s="21">
        <f>+'4.Gorcarakan ev tntesagitakan'!M21+'4.Gorcarakan ev tntesagitakan'!M80+'4.Gorcarakan ev tntesagitakan'!M360+'4.Gorcarakan ev tntesagitakan'!M401+'4.Gorcarakan ev tntesagitakan'!M450+'4.Gorcarakan ev tntesagitakan'!M761</f>
        <v>1380914.8979999998</v>
      </c>
      <c r="K25" s="33">
        <f t="shared" si="4"/>
        <v>0</v>
      </c>
      <c r="L25" s="19"/>
      <c r="M25" s="154"/>
    </row>
    <row r="26" spans="1:17" ht="27" x14ac:dyDescent="0.25">
      <c r="A26" s="51">
        <v>4112</v>
      </c>
      <c r="B26" s="9" t="s">
        <v>380</v>
      </c>
      <c r="C26" s="54" t="s">
        <v>21</v>
      </c>
      <c r="D26" s="21">
        <f>+'4.Gorcarakan ev tntesagitakan'!G22</f>
        <v>66000</v>
      </c>
      <c r="E26" s="21">
        <f>+'4.Gorcarakan ev tntesagitakan'!H22</f>
        <v>66000</v>
      </c>
      <c r="F26" s="21" t="s">
        <v>1</v>
      </c>
      <c r="G26" s="21">
        <f>+'4.Gorcarakan ev tntesagitakan'!J22</f>
        <v>11500</v>
      </c>
      <c r="H26" s="21">
        <f>+'4.Gorcarakan ev tntesagitakan'!K22</f>
        <v>33000</v>
      </c>
      <c r="I26" s="21">
        <f>+'4.Gorcarakan ev tntesagitakan'!L22</f>
        <v>49500</v>
      </c>
      <c r="J26" s="21">
        <f>+'4.Gorcarakan ev tntesagitakan'!M22</f>
        <v>66000</v>
      </c>
      <c r="K26" s="33">
        <f t="shared" si="4"/>
        <v>0</v>
      </c>
      <c r="L26" s="19"/>
      <c r="M26" s="154"/>
    </row>
    <row r="27" spans="1:17" x14ac:dyDescent="0.25">
      <c r="A27" s="51">
        <v>4114</v>
      </c>
      <c r="B27" s="9" t="s">
        <v>381</v>
      </c>
      <c r="C27" s="54" t="s">
        <v>22</v>
      </c>
      <c r="D27" s="21"/>
      <c r="E27" s="21"/>
      <c r="F27" s="21" t="s">
        <v>1</v>
      </c>
      <c r="G27" s="21"/>
      <c r="H27" s="21"/>
      <c r="I27" s="21"/>
      <c r="J27" s="21"/>
      <c r="K27" s="33">
        <f t="shared" si="4"/>
        <v>0</v>
      </c>
      <c r="L27" s="19"/>
      <c r="M27" s="154"/>
    </row>
    <row r="28" spans="1:17" ht="27" x14ac:dyDescent="0.25">
      <c r="A28" s="51">
        <v>4120</v>
      </c>
      <c r="B28" s="9" t="s">
        <v>382</v>
      </c>
      <c r="C28" s="54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  <c r="K28" s="33">
        <f t="shared" si="4"/>
        <v>0</v>
      </c>
      <c r="L28" s="19"/>
      <c r="M28" s="154"/>
    </row>
    <row r="29" spans="1:17" x14ac:dyDescent="0.25">
      <c r="A29" s="51"/>
      <c r="B29" s="11" t="s">
        <v>156</v>
      </c>
      <c r="C29" s="54"/>
      <c r="D29" s="21"/>
      <c r="E29" s="21"/>
      <c r="F29" s="21"/>
      <c r="G29" s="21"/>
      <c r="H29" s="21"/>
      <c r="I29" s="21"/>
      <c r="J29" s="21"/>
      <c r="K29" s="33">
        <f t="shared" si="4"/>
        <v>0</v>
      </c>
      <c r="L29" s="19"/>
      <c r="M29" s="154"/>
    </row>
    <row r="30" spans="1:17" x14ac:dyDescent="0.25">
      <c r="A30" s="51">
        <v>4121</v>
      </c>
      <c r="B30" s="9" t="s">
        <v>383</v>
      </c>
      <c r="C30" s="54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SUM(J30:L30)</f>
        <v>0</v>
      </c>
      <c r="J30" s="21">
        <f>SUM(L30:L30)</f>
        <v>0</v>
      </c>
      <c r="K30" s="33">
        <f t="shared" si="4"/>
        <v>0</v>
      </c>
      <c r="L30" s="19"/>
      <c r="M30" s="154"/>
    </row>
    <row r="31" spans="1:17" ht="27" x14ac:dyDescent="0.25">
      <c r="A31" s="51">
        <v>4130</v>
      </c>
      <c r="B31" s="9" t="s">
        <v>384</v>
      </c>
      <c r="C31" s="54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  <c r="K31" s="33">
        <f t="shared" si="4"/>
        <v>0</v>
      </c>
      <c r="L31" s="19"/>
      <c r="M31" s="154"/>
    </row>
    <row r="32" spans="1:17" x14ac:dyDescent="0.25">
      <c r="A32" s="51"/>
      <c r="B32" s="11" t="s">
        <v>156</v>
      </c>
      <c r="C32" s="54"/>
      <c r="D32" s="21"/>
      <c r="E32" s="21"/>
      <c r="F32" s="21"/>
      <c r="G32" s="21"/>
      <c r="H32" s="21"/>
      <c r="I32" s="21"/>
      <c r="J32" s="21"/>
      <c r="K32" s="33">
        <f t="shared" si="4"/>
        <v>0</v>
      </c>
      <c r="L32" s="19"/>
      <c r="M32" s="154"/>
    </row>
    <row r="33" spans="1:13" x14ac:dyDescent="0.25">
      <c r="A33" s="51">
        <v>4131</v>
      </c>
      <c r="B33" s="9" t="s">
        <v>385</v>
      </c>
      <c r="C33" s="54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SUM(J33:L33)</f>
        <v>0</v>
      </c>
      <c r="J33" s="21">
        <f>SUM(L33:L33)</f>
        <v>0</v>
      </c>
      <c r="K33" s="33">
        <f t="shared" si="4"/>
        <v>0</v>
      </c>
      <c r="L33" s="19"/>
      <c r="M33" s="154"/>
    </row>
    <row r="34" spans="1:13" ht="54" x14ac:dyDescent="0.25">
      <c r="A34" s="51">
        <v>4200</v>
      </c>
      <c r="B34" s="9" t="s">
        <v>386</v>
      </c>
      <c r="C34" s="54" t="s">
        <v>19</v>
      </c>
      <c r="D34" s="21">
        <f>SUM(D36,D45,D50,D60,D63,D67)</f>
        <v>1140385.1570000001</v>
      </c>
      <c r="E34" s="21">
        <f>SUM(E36,E45,E50,E60,E63,E67)</f>
        <v>1140385.1570000001</v>
      </c>
      <c r="F34" s="21" t="s">
        <v>0</v>
      </c>
      <c r="G34" s="21">
        <f>SUM(G36,G45,G50,G60,G63,G67)</f>
        <v>472386.22553754959</v>
      </c>
      <c r="H34" s="21">
        <f>SUM(H36,H45,H50,H60,H63,H67)</f>
        <v>650020.86585375515</v>
      </c>
      <c r="I34" s="21">
        <f>SUM(I36,I45,I50,I60,I63,I67)</f>
        <v>885285.02723715419</v>
      </c>
      <c r="J34" s="21">
        <f>SUM(J36,J45,J50,J60,J63,J67)</f>
        <v>1140385.1570000001</v>
      </c>
      <c r="K34" s="33">
        <f t="shared" si="4"/>
        <v>0</v>
      </c>
      <c r="L34" s="19"/>
      <c r="M34" s="154"/>
    </row>
    <row r="35" spans="1:13" x14ac:dyDescent="0.25">
      <c r="A35" s="51"/>
      <c r="B35" s="11" t="s">
        <v>376</v>
      </c>
      <c r="C35" s="52"/>
      <c r="D35" s="21"/>
      <c r="E35" s="21"/>
      <c r="F35" s="21"/>
      <c r="G35" s="21"/>
      <c r="H35" s="21"/>
      <c r="I35" s="21"/>
      <c r="J35" s="21"/>
      <c r="K35" s="33">
        <f t="shared" si="4"/>
        <v>0</v>
      </c>
      <c r="L35" s="19"/>
      <c r="M35" s="154"/>
    </row>
    <row r="36" spans="1:13" ht="40.5" x14ac:dyDescent="0.25">
      <c r="A36" s="51">
        <v>4210</v>
      </c>
      <c r="B36" s="9" t="s">
        <v>387</v>
      </c>
      <c r="C36" s="54" t="s">
        <v>19</v>
      </c>
      <c r="D36" s="21">
        <f>SUM(D38:D44)</f>
        <v>323871.66700000019</v>
      </c>
      <c r="E36" s="21">
        <f>SUM(E38:E44)</f>
        <v>323871.66700000019</v>
      </c>
      <c r="F36" s="21" t="s">
        <v>19</v>
      </c>
      <c r="G36" s="21">
        <f>SUM(G38:G44)</f>
        <v>162667.87387747047</v>
      </c>
      <c r="H36" s="21">
        <f>SUM(H38:H44)</f>
        <v>186143.9766442689</v>
      </c>
      <c r="I36" s="21">
        <f>SUM(I38:I44)</f>
        <v>254677.78229644283</v>
      </c>
      <c r="J36" s="21">
        <f>SUM(J38:J44)</f>
        <v>323871.66700000019</v>
      </c>
      <c r="K36" s="33">
        <f t="shared" si="4"/>
        <v>0</v>
      </c>
      <c r="L36" s="19"/>
      <c r="M36" s="154"/>
    </row>
    <row r="37" spans="1:13" x14ac:dyDescent="0.25">
      <c r="A37" s="51"/>
      <c r="B37" s="11" t="s">
        <v>156</v>
      </c>
      <c r="C37" s="54"/>
      <c r="D37" s="21"/>
      <c r="E37" s="21"/>
      <c r="F37" s="21"/>
      <c r="G37" s="21"/>
      <c r="H37" s="21"/>
      <c r="I37" s="21"/>
      <c r="J37" s="21"/>
      <c r="K37" s="33">
        <f t="shared" si="4"/>
        <v>0</v>
      </c>
      <c r="L37" s="19"/>
      <c r="M37" s="154"/>
    </row>
    <row r="38" spans="1:13" x14ac:dyDescent="0.25">
      <c r="A38" s="51">
        <v>4211</v>
      </c>
      <c r="B38" s="9" t="s">
        <v>388</v>
      </c>
      <c r="C38" s="54" t="s">
        <v>25</v>
      </c>
      <c r="D38" s="21"/>
      <c r="E38" s="21"/>
      <c r="F38" s="21" t="s">
        <v>1</v>
      </c>
      <c r="G38" s="21"/>
      <c r="H38" s="21"/>
      <c r="I38" s="21"/>
      <c r="J38" s="21"/>
      <c r="K38" s="33">
        <f t="shared" si="4"/>
        <v>0</v>
      </c>
      <c r="L38" s="19"/>
      <c r="M38" s="154"/>
    </row>
    <row r="39" spans="1:13" x14ac:dyDescent="0.25">
      <c r="A39" s="51">
        <v>4212</v>
      </c>
      <c r="B39" s="9" t="s">
        <v>389</v>
      </c>
      <c r="C39" s="54" t="s">
        <v>26</v>
      </c>
      <c r="D39" s="21">
        <f>+'4.Gorcarakan ev tntesagitakan'!G23+'4.Gorcarakan ev tntesagitakan'!G81+'4.Gorcarakan ev tntesagitakan'!G434+'4.Gorcarakan ev tntesagitakan'!G762</f>
        <v>214348.8670000002</v>
      </c>
      <c r="E39" s="21">
        <f>+'4.Gorcarakan ev tntesagitakan'!H23+'4.Gorcarakan ev tntesagitakan'!H81+'4.Gorcarakan ev tntesagitakan'!H434+'4.Gorcarakan ev tntesagitakan'!H762</f>
        <v>214348.8670000002</v>
      </c>
      <c r="F39" s="21" t="s">
        <v>1</v>
      </c>
      <c r="G39" s="21">
        <f>+'4.Gorcarakan ev tntesagitakan'!J23+'4.Gorcarakan ev tntesagitakan'!J81+'4.Gorcarakan ev tntesagitakan'!J434+'4.Gorcarakan ev tntesagitakan'!J762</f>
        <v>117097.46122924914</v>
      </c>
      <c r="H39" s="21">
        <f>+'4.Gorcarakan ev tntesagitakan'!K23+'4.Gorcarakan ev tntesagitakan'!K81+'4.Gorcarakan ev tntesagitakan'!K434+'4.Gorcarakan ev tntesagitakan'!K762</f>
        <v>120367.81696047442</v>
      </c>
      <c r="I39" s="21">
        <f>+'4.Gorcarakan ev tntesagitakan'!L23+'4.Gorcarakan ev tntesagitakan'!L81+'4.Gorcarakan ev tntesagitakan'!L434+'4.Gorcarakan ev tntesagitakan'!L762</f>
        <v>167358.34198023731</v>
      </c>
      <c r="J39" s="21">
        <f>+'4.Gorcarakan ev tntesagitakan'!M23+'4.Gorcarakan ev tntesagitakan'!M81+'4.Gorcarakan ev tntesagitakan'!M434+'4.Gorcarakan ev tntesagitakan'!M762</f>
        <v>214348.8670000002</v>
      </c>
      <c r="K39" s="33">
        <f t="shared" si="4"/>
        <v>0</v>
      </c>
      <c r="L39" s="19"/>
      <c r="M39" s="154"/>
    </row>
    <row r="40" spans="1:13" x14ac:dyDescent="0.25">
      <c r="A40" s="51">
        <v>4213</v>
      </c>
      <c r="B40" s="9" t="s">
        <v>390</v>
      </c>
      <c r="C40" s="54" t="s">
        <v>27</v>
      </c>
      <c r="D40" s="21">
        <f>+'4.Gorcarakan ev tntesagitakan'!G24+'4.Gorcarakan ev tntesagitakan'!G82+'4.Gorcarakan ev tntesagitakan'!G402</f>
        <v>77945.3</v>
      </c>
      <c r="E40" s="21">
        <f>+'4.Gorcarakan ev tntesagitakan'!H24+'4.Gorcarakan ev tntesagitakan'!H82+'4.Gorcarakan ev tntesagitakan'!H402</f>
        <v>77945.3</v>
      </c>
      <c r="F40" s="21" t="s">
        <v>1</v>
      </c>
      <c r="G40" s="21">
        <f>+'4.Gorcarakan ev tntesagitakan'!J24+'4.Gorcarakan ev tntesagitakan'!J82+'4.Gorcarakan ev tntesagitakan'!J402</f>
        <v>31570.991699604725</v>
      </c>
      <c r="H40" s="21">
        <f>+'4.Gorcarakan ev tntesagitakan'!K24+'4.Gorcarakan ev tntesagitakan'!K82+'4.Gorcarakan ev tntesagitakan'!K402</f>
        <v>41617.236758893283</v>
      </c>
      <c r="I40" s="21">
        <f>+'4.Gorcarakan ev tntesagitakan'!L24+'4.Gorcarakan ev tntesagitakan'!L82+'4.Gorcarakan ev tntesagitakan'!L402</f>
        <v>59781.268379446643</v>
      </c>
      <c r="J40" s="21">
        <f>+'4.Gorcarakan ev tntesagitakan'!M24+'4.Gorcarakan ev tntesagitakan'!M82+'4.Gorcarakan ev tntesagitakan'!M402</f>
        <v>77945.3</v>
      </c>
      <c r="K40" s="33">
        <f t="shared" si="4"/>
        <v>0</v>
      </c>
      <c r="L40" s="19"/>
      <c r="M40" s="154"/>
    </row>
    <row r="41" spans="1:13" x14ac:dyDescent="0.25">
      <c r="A41" s="51">
        <v>4214</v>
      </c>
      <c r="B41" s="9" t="s">
        <v>391</v>
      </c>
      <c r="C41" s="54" t="s">
        <v>28</v>
      </c>
      <c r="D41" s="21">
        <f>+'4.Gorcarakan ev tntesagitakan'!G25+'4.Gorcarakan ev tntesagitakan'!G83+'4.Gorcarakan ev tntesagitakan'!G763</f>
        <v>6943.5</v>
      </c>
      <c r="E41" s="21">
        <f>+'4.Gorcarakan ev tntesagitakan'!H25+'4.Gorcarakan ev tntesagitakan'!H83+'4.Gorcarakan ev tntesagitakan'!H763</f>
        <v>6943.5</v>
      </c>
      <c r="F41" s="21" t="s">
        <v>1</v>
      </c>
      <c r="G41" s="21">
        <f>+'4.Gorcarakan ev tntesagitakan'!J25+'4.Gorcarakan ev tntesagitakan'!J83+'4.Gorcarakan ev tntesagitakan'!J763</f>
        <v>2111.879446640316</v>
      </c>
      <c r="H41" s="21">
        <f>+'4.Gorcarakan ev tntesagitakan'!K25+'4.Gorcarakan ev tntesagitakan'!K83+'4.Gorcarakan ev tntesagitakan'!K763</f>
        <v>6943.5</v>
      </c>
      <c r="I41" s="21">
        <f>+'4.Gorcarakan ev tntesagitakan'!L25+'4.Gorcarakan ev tntesagitakan'!L83+'4.Gorcarakan ev tntesagitakan'!L763</f>
        <v>6943.5</v>
      </c>
      <c r="J41" s="21">
        <f>+'4.Gorcarakan ev tntesagitakan'!M25+'4.Gorcarakan ev tntesagitakan'!M83+'4.Gorcarakan ev tntesagitakan'!M763</f>
        <v>6943.5</v>
      </c>
      <c r="K41" s="33">
        <f t="shared" si="4"/>
        <v>0</v>
      </c>
      <c r="L41" s="19"/>
      <c r="M41" s="154"/>
    </row>
    <row r="42" spans="1:13" x14ac:dyDescent="0.25">
      <c r="A42" s="51">
        <v>4215</v>
      </c>
      <c r="B42" s="9" t="s">
        <v>392</v>
      </c>
      <c r="C42" s="54" t="s">
        <v>29</v>
      </c>
      <c r="D42" s="21">
        <f>+'4.Gorcarakan ev tntesagitakan'!G26+'4.Gorcarakan ev tntesagitakan'!G365+'4.Gorcarakan ev tntesagitakan'!G451</f>
        <v>17636</v>
      </c>
      <c r="E42" s="21">
        <f>+'4.Gorcarakan ev tntesagitakan'!H26+'4.Gorcarakan ev tntesagitakan'!H365+'4.Gorcarakan ev tntesagitakan'!H451</f>
        <v>17636</v>
      </c>
      <c r="F42" s="21" t="s">
        <v>1</v>
      </c>
      <c r="G42" s="21">
        <f>+'4.Gorcarakan ev tntesagitakan'!J26+'4.Gorcarakan ev tntesagitakan'!J365+'4.Gorcarakan ev tntesagitakan'!J451</f>
        <v>9928.4901185770759</v>
      </c>
      <c r="H42" s="21">
        <f>+'4.Gorcarakan ev tntesagitakan'!K26+'4.Gorcarakan ev tntesagitakan'!K365+'4.Gorcarakan ev tntesagitakan'!K451</f>
        <v>13782.245059288538</v>
      </c>
      <c r="I42" s="21">
        <f>+'4.Gorcarakan ev tntesagitakan'!L26+'4.Gorcarakan ev tntesagitakan'!L365+'4.Gorcarakan ev tntesagitakan'!L451</f>
        <v>15636</v>
      </c>
      <c r="J42" s="21">
        <f>+'4.Gorcarakan ev tntesagitakan'!M26+'4.Gorcarakan ev tntesagitakan'!M365+'4.Gorcarakan ev tntesagitakan'!M451</f>
        <v>17636</v>
      </c>
      <c r="K42" s="33">
        <f t="shared" si="4"/>
        <v>0</v>
      </c>
      <c r="L42" s="19"/>
      <c r="M42" s="154"/>
    </row>
    <row r="43" spans="1:13" x14ac:dyDescent="0.25">
      <c r="A43" s="51">
        <v>4216</v>
      </c>
      <c r="B43" s="9" t="s">
        <v>393</v>
      </c>
      <c r="C43" s="54" t="s">
        <v>30</v>
      </c>
      <c r="D43" s="21">
        <f>+'4.Gorcarakan ev tntesagitakan'!G27+'4.Gorcarakan ev tntesagitakan'!G361+'4.Gorcarakan ev tntesagitakan'!G552+'4.Gorcarakan ev tntesagitakan'!G560+'4.Gorcarakan ev tntesagitakan'!G765</f>
        <v>6998</v>
      </c>
      <c r="E43" s="21">
        <f>+'4.Gorcarakan ev tntesagitakan'!H27+'4.Gorcarakan ev tntesagitakan'!H361+'4.Gorcarakan ev tntesagitakan'!H552+'4.Gorcarakan ev tntesagitakan'!H560+'4.Gorcarakan ev tntesagitakan'!H765</f>
        <v>6998</v>
      </c>
      <c r="F43" s="21" t="s">
        <v>1</v>
      </c>
      <c r="G43" s="21">
        <f>+'4.Gorcarakan ev tntesagitakan'!J27+'4.Gorcarakan ev tntesagitakan'!J361+'4.Gorcarakan ev tntesagitakan'!J552+'4.Gorcarakan ev tntesagitakan'!J560+'4.Gorcarakan ev tntesagitakan'!J765</f>
        <v>1959.0513833992095</v>
      </c>
      <c r="H43" s="21">
        <f>+'4.Gorcarakan ev tntesagitakan'!K27+'4.Gorcarakan ev tntesagitakan'!K361+'4.Gorcarakan ev tntesagitakan'!K552+'4.Gorcarakan ev tntesagitakan'!K560+'4.Gorcarakan ev tntesagitakan'!K765</f>
        <v>3433.177865612648</v>
      </c>
      <c r="I43" s="21">
        <f>+'4.Gorcarakan ev tntesagitakan'!L27+'4.Gorcarakan ev tntesagitakan'!L361+'4.Gorcarakan ev tntesagitakan'!L552+'4.Gorcarakan ev tntesagitakan'!L560+'4.Gorcarakan ev tntesagitakan'!L765</f>
        <v>4958.6719367588939</v>
      </c>
      <c r="J43" s="21">
        <f>+'4.Gorcarakan ev tntesagitakan'!M27+'4.Gorcarakan ev tntesagitakan'!M361+'4.Gorcarakan ev tntesagitakan'!M552+'4.Gorcarakan ev tntesagitakan'!M560+'4.Gorcarakan ev tntesagitakan'!M765</f>
        <v>6998</v>
      </c>
      <c r="K43" s="33">
        <f t="shared" si="4"/>
        <v>0</v>
      </c>
      <c r="L43" s="19"/>
      <c r="M43" s="154"/>
    </row>
    <row r="44" spans="1:13" x14ac:dyDescent="0.25">
      <c r="A44" s="51">
        <v>4217</v>
      </c>
      <c r="B44" s="9" t="s">
        <v>394</v>
      </c>
      <c r="C44" s="54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  <c r="K44" s="33">
        <f t="shared" si="4"/>
        <v>0</v>
      </c>
      <c r="L44" s="19"/>
      <c r="M44" s="154"/>
    </row>
    <row r="45" spans="1:13" ht="27" x14ac:dyDescent="0.25">
      <c r="A45" s="51">
        <v>4220</v>
      </c>
      <c r="B45" s="9" t="s">
        <v>395</v>
      </c>
      <c r="C45" s="54" t="s">
        <v>19</v>
      </c>
      <c r="D45" s="21">
        <f>SUM(D47:D49)</f>
        <v>61616</v>
      </c>
      <c r="E45" s="21">
        <f>SUM(E47:E49)</f>
        <v>61616</v>
      </c>
      <c r="F45" s="21" t="s">
        <v>1</v>
      </c>
      <c r="G45" s="21">
        <f>SUM(G47:G49)</f>
        <v>15062.640316205534</v>
      </c>
      <c r="H45" s="21">
        <f>SUM(H47:H49)</f>
        <v>30637.343873517788</v>
      </c>
      <c r="I45" s="21">
        <f>SUM(I47:I49)</f>
        <v>46226.671936758896</v>
      </c>
      <c r="J45" s="21">
        <f>SUM(J47:J49)</f>
        <v>61616</v>
      </c>
      <c r="K45" s="33">
        <f t="shared" si="4"/>
        <v>0</v>
      </c>
      <c r="L45" s="19"/>
      <c r="M45" s="154"/>
    </row>
    <row r="46" spans="1:13" x14ac:dyDescent="0.25">
      <c r="A46" s="51"/>
      <c r="B46" s="11" t="s">
        <v>156</v>
      </c>
      <c r="C46" s="54"/>
      <c r="D46" s="21"/>
      <c r="E46" s="21"/>
      <c r="F46" s="21"/>
      <c r="G46" s="21"/>
      <c r="H46" s="21"/>
      <c r="I46" s="21"/>
      <c r="J46" s="21"/>
      <c r="K46" s="33">
        <f t="shared" si="4"/>
        <v>0</v>
      </c>
      <c r="L46" s="19"/>
      <c r="M46" s="154"/>
    </row>
    <row r="47" spans="1:13" x14ac:dyDescent="0.25">
      <c r="A47" s="51">
        <v>4221</v>
      </c>
      <c r="B47" s="9" t="s">
        <v>396</v>
      </c>
      <c r="C47" s="55">
        <v>4221</v>
      </c>
      <c r="D47" s="21">
        <f>+'4.Gorcarakan ev tntesagitakan'!G29+'4.Gorcarakan ev tntesagitakan'!G84+'4.Gorcarakan ev tntesagitakan'!G362+'4.Gorcarakan ev tntesagitakan'!G546+'4.Gorcarakan ev tntesagitakan'!G767</f>
        <v>57116</v>
      </c>
      <c r="E47" s="21">
        <f>+'4.Gorcarakan ev tntesagitakan'!H29+'4.Gorcarakan ev tntesagitakan'!H84+'4.Gorcarakan ev tntesagitakan'!H362+'4.Gorcarakan ev tntesagitakan'!H546+'4.Gorcarakan ev tntesagitakan'!H767</f>
        <v>57116</v>
      </c>
      <c r="F47" s="21" t="s">
        <v>1</v>
      </c>
      <c r="G47" s="21">
        <f>+'4.Gorcarakan ev tntesagitakan'!J29+'4.Gorcarakan ev tntesagitakan'!J84+'4.Gorcarakan ev tntesagitakan'!J362+'4.Gorcarakan ev tntesagitakan'!J546+'4.Gorcarakan ev tntesagitakan'!J767</f>
        <v>13959.873517786562</v>
      </c>
      <c r="H47" s="21">
        <f>+'4.Gorcarakan ev tntesagitakan'!K29+'4.Gorcarakan ev tntesagitakan'!K84+'4.Gorcarakan ev tntesagitakan'!K362+'4.Gorcarakan ev tntesagitakan'!K546+'4.Gorcarakan ev tntesagitakan'!K767</f>
        <v>28449.596837944664</v>
      </c>
      <c r="I47" s="21">
        <f>+'4.Gorcarakan ev tntesagitakan'!L29+'4.Gorcarakan ev tntesagitakan'!L84+'4.Gorcarakan ev tntesagitakan'!L362+'4.Gorcarakan ev tntesagitakan'!L546+'4.Gorcarakan ev tntesagitakan'!L767</f>
        <v>42882.798418972336</v>
      </c>
      <c r="J47" s="21">
        <f>+'4.Gorcarakan ev tntesagitakan'!M29+'4.Gorcarakan ev tntesagitakan'!M84+'4.Gorcarakan ev tntesagitakan'!M362+'4.Gorcarakan ev tntesagitakan'!M546+'4.Gorcarakan ev tntesagitakan'!M767</f>
        <v>57116</v>
      </c>
      <c r="K47" s="33">
        <f t="shared" si="4"/>
        <v>0</v>
      </c>
      <c r="L47" s="19"/>
      <c r="M47" s="154"/>
    </row>
    <row r="48" spans="1:13" x14ac:dyDescent="0.25">
      <c r="A48" s="51">
        <v>4222</v>
      </c>
      <c r="B48" s="9" t="s">
        <v>397</v>
      </c>
      <c r="C48" s="54" t="s">
        <v>32</v>
      </c>
      <c r="D48" s="21">
        <f>+'4.Gorcarakan ev tntesagitakan'!G30+'4.Gorcarakan ev tntesagitakan'!G547</f>
        <v>4500</v>
      </c>
      <c r="E48" s="21">
        <f>+'4.Gorcarakan ev tntesagitakan'!H30+'4.Gorcarakan ev tntesagitakan'!H547</f>
        <v>4500</v>
      </c>
      <c r="F48" s="21" t="s">
        <v>1</v>
      </c>
      <c r="G48" s="21">
        <f>+'4.Gorcarakan ev tntesagitakan'!J30+'4.Gorcarakan ev tntesagitakan'!J547</f>
        <v>1102.7667984189725</v>
      </c>
      <c r="H48" s="21">
        <f>+'4.Gorcarakan ev tntesagitakan'!K30+'4.Gorcarakan ev tntesagitakan'!K547</f>
        <v>2187.747035573123</v>
      </c>
      <c r="I48" s="21">
        <f>+'4.Gorcarakan ev tntesagitakan'!L30+'4.Gorcarakan ev tntesagitakan'!L547</f>
        <v>3343.873517786561</v>
      </c>
      <c r="J48" s="21">
        <f>+'4.Gorcarakan ev tntesagitakan'!M30+'4.Gorcarakan ev tntesagitakan'!M547</f>
        <v>4500</v>
      </c>
      <c r="K48" s="33">
        <f t="shared" si="4"/>
        <v>0</v>
      </c>
      <c r="L48" s="19"/>
      <c r="M48" s="154"/>
    </row>
    <row r="49" spans="1:13" x14ac:dyDescent="0.25">
      <c r="A49" s="51">
        <v>4223</v>
      </c>
      <c r="B49" s="9" t="s">
        <v>398</v>
      </c>
      <c r="C49" s="54" t="s">
        <v>33</v>
      </c>
      <c r="D49" s="21"/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SUM(J49:L49)</f>
        <v>0</v>
      </c>
      <c r="J49" s="21">
        <f>SUM(L49:L49)</f>
        <v>0</v>
      </c>
      <c r="K49" s="33">
        <f t="shared" si="4"/>
        <v>0</v>
      </c>
      <c r="L49" s="19"/>
      <c r="M49" s="154"/>
    </row>
    <row r="50" spans="1:13" ht="54" x14ac:dyDescent="0.25">
      <c r="A50" s="51">
        <v>4230</v>
      </c>
      <c r="B50" s="9" t="s">
        <v>399</v>
      </c>
      <c r="C50" s="54" t="s">
        <v>19</v>
      </c>
      <c r="D50" s="21">
        <f>SUM(D52:D59)</f>
        <v>135519.19</v>
      </c>
      <c r="E50" s="21">
        <f>SUM(E52:E59)</f>
        <v>135519.19</v>
      </c>
      <c r="F50" s="21" t="s">
        <v>1</v>
      </c>
      <c r="G50" s="21">
        <f>SUM(G52:G59)</f>
        <v>63120.328339920983</v>
      </c>
      <c r="H50" s="21">
        <f>SUM(H52:H59)</f>
        <v>87218.794743082995</v>
      </c>
      <c r="I50" s="21">
        <f>SUM(I52:I59)</f>
        <v>111295.86984189725</v>
      </c>
      <c r="J50" s="21">
        <f>SUM(J52:J59)</f>
        <v>135519.19</v>
      </c>
      <c r="K50" s="33">
        <f t="shared" si="4"/>
        <v>0</v>
      </c>
      <c r="L50" s="19"/>
      <c r="M50" s="154"/>
    </row>
    <row r="51" spans="1:13" x14ac:dyDescent="0.25">
      <c r="A51" s="51"/>
      <c r="B51" s="11" t="s">
        <v>156</v>
      </c>
      <c r="C51" s="54"/>
      <c r="D51" s="21"/>
      <c r="E51" s="21"/>
      <c r="F51" s="21"/>
      <c r="G51" s="21"/>
      <c r="H51" s="21"/>
      <c r="I51" s="21"/>
      <c r="J51" s="21"/>
      <c r="K51" s="33">
        <f t="shared" si="4"/>
        <v>0</v>
      </c>
      <c r="L51" s="19"/>
      <c r="M51" s="154"/>
    </row>
    <row r="52" spans="1:13" x14ac:dyDescent="0.25">
      <c r="A52" s="51">
        <v>4231</v>
      </c>
      <c r="B52" s="9" t="s">
        <v>400</v>
      </c>
      <c r="C52" s="54" t="s">
        <v>34</v>
      </c>
      <c r="D52" s="21"/>
      <c r="E52" s="21"/>
      <c r="F52" s="21" t="s">
        <v>1</v>
      </c>
      <c r="G52" s="21"/>
      <c r="H52" s="21"/>
      <c r="I52" s="21"/>
      <c r="J52" s="21"/>
      <c r="K52" s="33">
        <f t="shared" si="4"/>
        <v>0</v>
      </c>
      <c r="L52" s="19"/>
      <c r="M52" s="154"/>
    </row>
    <row r="53" spans="1:13" x14ac:dyDescent="0.25">
      <c r="A53" s="51">
        <v>4232</v>
      </c>
      <c r="B53" s="9" t="s">
        <v>401</v>
      </c>
      <c r="C53" s="54" t="s">
        <v>35</v>
      </c>
      <c r="D53" s="21">
        <f>+'4.Gorcarakan ev tntesagitakan'!G31</f>
        <v>15000</v>
      </c>
      <c r="E53" s="21">
        <f>+'4.Gorcarakan ev tntesagitakan'!H31</f>
        <v>15000</v>
      </c>
      <c r="F53" s="21" t="s">
        <v>1</v>
      </c>
      <c r="G53" s="21">
        <f>+'4.Gorcarakan ev tntesagitakan'!J31</f>
        <v>7292.490118577075</v>
      </c>
      <c r="H53" s="21">
        <f>+'4.Gorcarakan ev tntesagitakan'!K31</f>
        <v>11146.245059288538</v>
      </c>
      <c r="I53" s="21">
        <f>+'4.Gorcarakan ev tntesagitakan'!L31</f>
        <v>13000</v>
      </c>
      <c r="J53" s="21">
        <f>+'4.Gorcarakan ev tntesagitakan'!M31</f>
        <v>15000</v>
      </c>
      <c r="K53" s="33">
        <f t="shared" si="4"/>
        <v>0</v>
      </c>
      <c r="L53" s="19"/>
      <c r="M53" s="154"/>
    </row>
    <row r="54" spans="1:13" ht="27" x14ac:dyDescent="0.25">
      <c r="A54" s="51">
        <v>4233</v>
      </c>
      <c r="B54" s="9" t="s">
        <v>402</v>
      </c>
      <c r="C54" s="54" t="s">
        <v>36</v>
      </c>
      <c r="D54" s="21"/>
      <c r="E54" s="21"/>
      <c r="F54" s="21" t="s">
        <v>1</v>
      </c>
      <c r="G54" s="21"/>
      <c r="H54" s="21"/>
      <c r="I54" s="21"/>
      <c r="J54" s="21"/>
      <c r="K54" s="33">
        <f t="shared" si="4"/>
        <v>0</v>
      </c>
      <c r="L54" s="19"/>
      <c r="M54" s="154"/>
    </row>
    <row r="55" spans="1:13" x14ac:dyDescent="0.25">
      <c r="A55" s="51">
        <v>4234</v>
      </c>
      <c r="B55" s="9" t="s">
        <v>403</v>
      </c>
      <c r="C55" s="54" t="s">
        <v>37</v>
      </c>
      <c r="D55" s="21">
        <f>+'4.Gorcarakan ev tntesagitakan'!G32</f>
        <v>6295.8</v>
      </c>
      <c r="E55" s="21">
        <f>+'4.Gorcarakan ev tntesagitakan'!H32</f>
        <v>6295.8</v>
      </c>
      <c r="F55" s="21" t="s">
        <v>1</v>
      </c>
      <c r="G55" s="21">
        <f>+'4.Gorcarakan ev tntesagitakan'!J32</f>
        <v>1766.1557312252964</v>
      </c>
      <c r="H55" s="21">
        <f>+'4.Gorcarakan ev tntesagitakan'!K32</f>
        <v>3212.7960474308306</v>
      </c>
      <c r="I55" s="21">
        <f>+'4.Gorcarakan ev tntesagitakan'!L32</f>
        <v>4754.2980237154152</v>
      </c>
      <c r="J55" s="21">
        <f>+'4.Gorcarakan ev tntesagitakan'!M32</f>
        <v>6295.8</v>
      </c>
      <c r="K55" s="33">
        <f t="shared" si="4"/>
        <v>0</v>
      </c>
      <c r="L55" s="19"/>
      <c r="M55" s="154"/>
    </row>
    <row r="56" spans="1:13" x14ac:dyDescent="0.25">
      <c r="A56" s="51">
        <v>4235</v>
      </c>
      <c r="B56" s="70" t="s">
        <v>404</v>
      </c>
      <c r="C56" s="6">
        <v>4235</v>
      </c>
      <c r="D56" s="21"/>
      <c r="E56" s="21"/>
      <c r="F56" s="21" t="s">
        <v>1</v>
      </c>
      <c r="G56" s="21"/>
      <c r="H56" s="21"/>
      <c r="I56" s="21"/>
      <c r="J56" s="21"/>
      <c r="K56" s="33">
        <f t="shared" si="4"/>
        <v>0</v>
      </c>
      <c r="L56" s="19"/>
      <c r="M56" s="154"/>
    </row>
    <row r="57" spans="1:13" x14ac:dyDescent="0.25">
      <c r="A57" s="51">
        <v>4236</v>
      </c>
      <c r="B57" s="9" t="s">
        <v>405</v>
      </c>
      <c r="C57" s="54" t="s">
        <v>38</v>
      </c>
      <c r="D57" s="21"/>
      <c r="E57" s="21"/>
      <c r="F57" s="21" t="s">
        <v>1</v>
      </c>
      <c r="G57" s="21"/>
      <c r="H57" s="21"/>
      <c r="I57" s="21"/>
      <c r="J57" s="21"/>
      <c r="K57" s="33">
        <f t="shared" si="4"/>
        <v>0</v>
      </c>
      <c r="L57" s="19"/>
      <c r="M57" s="154"/>
    </row>
    <row r="58" spans="1:13" x14ac:dyDescent="0.25">
      <c r="A58" s="51">
        <v>4237</v>
      </c>
      <c r="B58" s="9" t="s">
        <v>406</v>
      </c>
      <c r="C58" s="54" t="s">
        <v>39</v>
      </c>
      <c r="D58" s="21">
        <f>+'4.Gorcarakan ev tntesagitakan'!G33</f>
        <v>15355.9</v>
      </c>
      <c r="E58" s="21">
        <f>+'4.Gorcarakan ev tntesagitakan'!H33</f>
        <v>15355.9</v>
      </c>
      <c r="F58" s="21" t="s">
        <v>1</v>
      </c>
      <c r="G58" s="21">
        <f>+'4.Gorcarakan ev tntesagitakan'!J33</f>
        <v>7291.0304347826095</v>
      </c>
      <c r="H58" s="21">
        <f>+'4.Gorcarakan ev tntesagitakan'!K33</f>
        <v>15355.9</v>
      </c>
      <c r="I58" s="21">
        <f>+'4.Gorcarakan ev tntesagitakan'!L33</f>
        <v>15355.9</v>
      </c>
      <c r="J58" s="21">
        <f>+'4.Gorcarakan ev tntesagitakan'!M33</f>
        <v>15355.9</v>
      </c>
      <c r="K58" s="33">
        <f t="shared" si="4"/>
        <v>0</v>
      </c>
      <c r="L58" s="19"/>
      <c r="M58" s="154"/>
    </row>
    <row r="59" spans="1:13" x14ac:dyDescent="0.25">
      <c r="A59" s="51">
        <v>4238</v>
      </c>
      <c r="B59" s="9" t="s">
        <v>407</v>
      </c>
      <c r="C59" s="54" t="s">
        <v>40</v>
      </c>
      <c r="D59" s="21">
        <f>+'4.Gorcarakan ev tntesagitakan'!G34+'4.Gorcarakan ev tntesagitakan'!G85+'4.Gorcarakan ev tntesagitakan'!G162+'4.Gorcarakan ev tntesagitakan'!G283+'4.Gorcarakan ev tntesagitakan'!G363+'4.Gorcarakan ev tntesagitakan'!G409+'4.Gorcarakan ev tntesagitakan'!G435+'4.Gorcarakan ev tntesagitakan'!G452+'4.Gorcarakan ev tntesagitakan'!G724+'4.Gorcarakan ev tntesagitakan'!G748</f>
        <v>98867.489999999991</v>
      </c>
      <c r="E59" s="21">
        <f>+'4.Gorcarakan ev tntesagitakan'!H34+'4.Gorcarakan ev tntesagitakan'!H85+'4.Gorcarakan ev tntesagitakan'!H162+'4.Gorcarakan ev tntesagitakan'!H283+'4.Gorcarakan ev tntesagitakan'!H363+'4.Gorcarakan ev tntesagitakan'!H409+'4.Gorcarakan ev tntesagitakan'!H435+'4.Gorcarakan ev tntesagitakan'!H452+'4.Gorcarakan ev tntesagitakan'!H724+'4.Gorcarakan ev tntesagitakan'!H748</f>
        <v>98867.489999999991</v>
      </c>
      <c r="F59" s="21" t="s">
        <v>1</v>
      </c>
      <c r="G59" s="21">
        <f>+'4.Gorcarakan ev tntesagitakan'!J34+'4.Gorcarakan ev tntesagitakan'!J85+'4.Gorcarakan ev tntesagitakan'!J162+'4.Gorcarakan ev tntesagitakan'!J283+'4.Gorcarakan ev tntesagitakan'!J363+'4.Gorcarakan ev tntesagitakan'!J409+'4.Gorcarakan ev tntesagitakan'!J435+'4.Gorcarakan ev tntesagitakan'!J452+'4.Gorcarakan ev tntesagitakan'!J724+'4.Gorcarakan ev tntesagitakan'!J748</f>
        <v>46770.652055336002</v>
      </c>
      <c r="H59" s="21">
        <f>+'4.Gorcarakan ev tntesagitakan'!K34+'4.Gorcarakan ev tntesagitakan'!K85+'4.Gorcarakan ev tntesagitakan'!K162+'4.Gorcarakan ev tntesagitakan'!K283+'4.Gorcarakan ev tntesagitakan'!K363+'4.Gorcarakan ev tntesagitakan'!K409+'4.Gorcarakan ev tntesagitakan'!K435+'4.Gorcarakan ev tntesagitakan'!K452+'4.Gorcarakan ev tntesagitakan'!K724+'4.Gorcarakan ev tntesagitakan'!K748</f>
        <v>57503.85363636363</v>
      </c>
      <c r="I59" s="21">
        <f>+'4.Gorcarakan ev tntesagitakan'!L34+'4.Gorcarakan ev tntesagitakan'!L85+'4.Gorcarakan ev tntesagitakan'!L162+'4.Gorcarakan ev tntesagitakan'!L283+'4.Gorcarakan ev tntesagitakan'!L363+'4.Gorcarakan ev tntesagitakan'!L409+'4.Gorcarakan ev tntesagitakan'!L435+'4.Gorcarakan ev tntesagitakan'!L452+'4.Gorcarakan ev tntesagitakan'!L724+'4.Gorcarakan ev tntesagitakan'!L748</f>
        <v>78185.671818181829</v>
      </c>
      <c r="J59" s="21">
        <f>+'4.Gorcarakan ev tntesagitakan'!M34+'4.Gorcarakan ev tntesagitakan'!M85+'4.Gorcarakan ev tntesagitakan'!M162+'4.Gorcarakan ev tntesagitakan'!M283+'4.Gorcarakan ev tntesagitakan'!M363+'4.Gorcarakan ev tntesagitakan'!M409+'4.Gorcarakan ev tntesagitakan'!M435+'4.Gorcarakan ev tntesagitakan'!M452+'4.Gorcarakan ev tntesagitakan'!M724+'4.Gorcarakan ev tntesagitakan'!M748</f>
        <v>98867.489999999991</v>
      </c>
      <c r="K59" s="33">
        <f t="shared" si="4"/>
        <v>0</v>
      </c>
      <c r="L59" s="19"/>
      <c r="M59" s="154"/>
    </row>
    <row r="60" spans="1:13" ht="27" x14ac:dyDescent="0.25">
      <c r="A60" s="51">
        <v>4240</v>
      </c>
      <c r="B60" s="9" t="s">
        <v>408</v>
      </c>
      <c r="C60" s="54" t="s">
        <v>19</v>
      </c>
      <c r="D60" s="21">
        <f>+D62</f>
        <v>56277</v>
      </c>
      <c r="E60" s="21">
        <f>+E62</f>
        <v>56277</v>
      </c>
      <c r="F60" s="21" t="s">
        <v>1</v>
      </c>
      <c r="G60" s="21">
        <f>+G62</f>
        <v>17735.173913043473</v>
      </c>
      <c r="H60" s="21">
        <f>+H62</f>
        <v>30683.086956521736</v>
      </c>
      <c r="I60" s="21">
        <f>+I62</f>
        <v>43480.043478260865</v>
      </c>
      <c r="J60" s="21">
        <f>+J62</f>
        <v>56277</v>
      </c>
      <c r="K60" s="33">
        <f t="shared" si="4"/>
        <v>0</v>
      </c>
      <c r="L60" s="19"/>
      <c r="M60" s="154"/>
    </row>
    <row r="61" spans="1:13" x14ac:dyDescent="0.25">
      <c r="A61" s="51"/>
      <c r="B61" s="11" t="s">
        <v>156</v>
      </c>
      <c r="C61" s="54"/>
      <c r="D61" s="21"/>
      <c r="E61" s="21"/>
      <c r="F61" s="21"/>
      <c r="G61" s="21"/>
      <c r="H61" s="21"/>
      <c r="I61" s="21"/>
      <c r="J61" s="21"/>
      <c r="K61" s="33">
        <f t="shared" si="4"/>
        <v>0</v>
      </c>
      <c r="L61" s="19"/>
      <c r="M61" s="154"/>
    </row>
    <row r="62" spans="1:13" x14ac:dyDescent="0.25">
      <c r="A62" s="51">
        <v>4241</v>
      </c>
      <c r="B62" s="9" t="s">
        <v>409</v>
      </c>
      <c r="C62" s="54" t="s">
        <v>41</v>
      </c>
      <c r="D62" s="21">
        <f>+'4.Gorcarakan ev tntesagitakan'!G35+'4.Gorcarakan ev tntesagitakan'!G98+'4.Gorcarakan ev tntesagitakan'!G105+'4.Gorcarakan ev tntesagitakan'!G366+'4.Gorcarakan ev tntesagitakan'!G453</f>
        <v>56277</v>
      </c>
      <c r="E62" s="21">
        <f>+'4.Gorcarakan ev tntesagitakan'!H35+'4.Gorcarakan ev tntesagitakan'!H98+'4.Gorcarakan ev tntesagitakan'!H105+'4.Gorcarakan ev tntesagitakan'!H366+'4.Gorcarakan ev tntesagitakan'!H453</f>
        <v>56277</v>
      </c>
      <c r="F62" s="21" t="s">
        <v>1</v>
      </c>
      <c r="G62" s="21">
        <f>+'4.Gorcarakan ev tntesagitakan'!J35+'4.Gorcarakan ev tntesagitakan'!J98+'4.Gorcarakan ev tntesagitakan'!J105+'4.Gorcarakan ev tntesagitakan'!J366+'4.Gorcarakan ev tntesagitakan'!J453</f>
        <v>17735.173913043473</v>
      </c>
      <c r="H62" s="21">
        <f>+'4.Gorcarakan ev tntesagitakan'!K35+'4.Gorcarakan ev tntesagitakan'!K98+'4.Gorcarakan ev tntesagitakan'!K105+'4.Gorcarakan ev tntesagitakan'!K366+'4.Gorcarakan ev tntesagitakan'!K453</f>
        <v>30683.086956521736</v>
      </c>
      <c r="I62" s="21">
        <f>+'4.Gorcarakan ev tntesagitakan'!L35+'4.Gorcarakan ev tntesagitakan'!L98+'4.Gorcarakan ev tntesagitakan'!L105+'4.Gorcarakan ev tntesagitakan'!L366+'4.Gorcarakan ev tntesagitakan'!L453</f>
        <v>43480.043478260865</v>
      </c>
      <c r="J62" s="21">
        <f>+'4.Gorcarakan ev tntesagitakan'!M35+'4.Gorcarakan ev tntesagitakan'!M98+'4.Gorcarakan ev tntesagitakan'!M105+'4.Gorcarakan ev tntesagitakan'!M366+'4.Gorcarakan ev tntesagitakan'!M453</f>
        <v>56277</v>
      </c>
      <c r="K62" s="33">
        <f t="shared" si="4"/>
        <v>0</v>
      </c>
      <c r="L62" s="19"/>
      <c r="M62" s="154"/>
    </row>
    <row r="63" spans="1:13" ht="27" x14ac:dyDescent="0.25">
      <c r="A63" s="51">
        <v>4250</v>
      </c>
      <c r="B63" s="9" t="s">
        <v>410</v>
      </c>
      <c r="C63" s="54" t="s">
        <v>19</v>
      </c>
      <c r="D63" s="21">
        <f>SUM(D65:D66)</f>
        <v>233170</v>
      </c>
      <c r="E63" s="21">
        <f>SUM(E65:E66)</f>
        <v>233170</v>
      </c>
      <c r="F63" s="21" t="s">
        <v>1</v>
      </c>
      <c r="G63" s="21">
        <f>SUM(G65:G66)</f>
        <v>63039.960474308296</v>
      </c>
      <c r="H63" s="21">
        <f>SUM(H65:H66)</f>
        <v>119458.9328063241</v>
      </c>
      <c r="I63" s="21">
        <f>SUM(I65:I66)</f>
        <v>171214.46640316199</v>
      </c>
      <c r="J63" s="21">
        <f>SUM(J65:J66)</f>
        <v>233170</v>
      </c>
      <c r="K63" s="33">
        <f t="shared" si="4"/>
        <v>0</v>
      </c>
      <c r="L63" s="19"/>
      <c r="M63" s="154"/>
    </row>
    <row r="64" spans="1:13" x14ac:dyDescent="0.25">
      <c r="A64" s="51"/>
      <c r="B64" s="11" t="s">
        <v>156</v>
      </c>
      <c r="C64" s="54"/>
      <c r="D64" s="21"/>
      <c r="E64" s="21"/>
      <c r="F64" s="21"/>
      <c r="G64" s="21"/>
      <c r="H64" s="21"/>
      <c r="I64" s="21"/>
      <c r="J64" s="21"/>
      <c r="K64" s="33">
        <f t="shared" si="4"/>
        <v>0</v>
      </c>
      <c r="L64" s="19"/>
      <c r="M64" s="154"/>
    </row>
    <row r="65" spans="1:13" ht="27" x14ac:dyDescent="0.25">
      <c r="A65" s="51">
        <v>4251</v>
      </c>
      <c r="B65" s="9" t="s">
        <v>411</v>
      </c>
      <c r="C65" s="54" t="s">
        <v>42</v>
      </c>
      <c r="D65" s="21">
        <f>+'4.Gorcarakan ev tntesagitakan'!G284+'4.Gorcarakan ev tntesagitakan'!G454+'4.Gorcarakan ev tntesagitakan'!G591</f>
        <v>221680</v>
      </c>
      <c r="E65" s="21">
        <f>+'4.Gorcarakan ev tntesagitakan'!H284+'4.Gorcarakan ev tntesagitakan'!H454+'4.Gorcarakan ev tntesagitakan'!H591</f>
        <v>221680</v>
      </c>
      <c r="F65" s="21" t="s">
        <v>1</v>
      </c>
      <c r="G65" s="21">
        <f>+'4.Gorcarakan ev tntesagitakan'!J284+'4.Gorcarakan ev tntesagitakan'!J454+'4.Gorcarakan ev tntesagitakan'!J591</f>
        <v>58043.63636363636</v>
      </c>
      <c r="H65" s="21">
        <f>+'4.Gorcarakan ev tntesagitakan'!K284+'4.Gorcarakan ev tntesagitakan'!K454+'4.Gorcarakan ev tntesagitakan'!K591</f>
        <v>113498.18181818181</v>
      </c>
      <c r="I65" s="21">
        <f>+'4.Gorcarakan ev tntesagitakan'!L284+'4.Gorcarakan ev tntesagitakan'!L454+'4.Gorcarakan ev tntesagitakan'!L591</f>
        <v>162589.09090909085</v>
      </c>
      <c r="J65" s="21">
        <f>+'4.Gorcarakan ev tntesagitakan'!M284+'4.Gorcarakan ev tntesagitakan'!M454+'4.Gorcarakan ev tntesagitakan'!M591</f>
        <v>221680</v>
      </c>
      <c r="K65" s="33">
        <f t="shared" si="4"/>
        <v>0</v>
      </c>
      <c r="L65" s="19"/>
      <c r="M65" s="154"/>
    </row>
    <row r="66" spans="1:13" ht="27" x14ac:dyDescent="0.25">
      <c r="A66" s="51">
        <v>4252</v>
      </c>
      <c r="B66" s="9" t="s">
        <v>412</v>
      </c>
      <c r="C66" s="54" t="s">
        <v>43</v>
      </c>
      <c r="D66" s="21">
        <f>+'4.Gorcarakan ev tntesagitakan'!G37+'4.Gorcarakan ev tntesagitakan'!G367+'4.Gorcarakan ev tntesagitakan'!G455</f>
        <v>11490</v>
      </c>
      <c r="E66" s="21">
        <f>+'4.Gorcarakan ev tntesagitakan'!H37+'4.Gorcarakan ev tntesagitakan'!H367+'4.Gorcarakan ev tntesagitakan'!H455</f>
        <v>11490</v>
      </c>
      <c r="F66" s="21" t="s">
        <v>1</v>
      </c>
      <c r="G66" s="21">
        <f>+'4.Gorcarakan ev tntesagitakan'!J37+'4.Gorcarakan ev tntesagitakan'!J367+'4.Gorcarakan ev tntesagitakan'!J455</f>
        <v>4996.3241106719361</v>
      </c>
      <c r="H66" s="21">
        <f>+'4.Gorcarakan ev tntesagitakan'!K37+'4.Gorcarakan ev tntesagitakan'!K367+'4.Gorcarakan ev tntesagitakan'!K455</f>
        <v>5960.750988142292</v>
      </c>
      <c r="I66" s="21">
        <f>+'4.Gorcarakan ev tntesagitakan'!L37+'4.Gorcarakan ev tntesagitakan'!L367+'4.Gorcarakan ev tntesagitakan'!L455</f>
        <v>8625.3754940711497</v>
      </c>
      <c r="J66" s="21">
        <f>+'4.Gorcarakan ev tntesagitakan'!M37+'4.Gorcarakan ev tntesagitakan'!M367+'4.Gorcarakan ev tntesagitakan'!M455</f>
        <v>11490</v>
      </c>
      <c r="K66" s="33">
        <f t="shared" si="4"/>
        <v>0</v>
      </c>
      <c r="L66" s="19"/>
      <c r="M66" s="154"/>
    </row>
    <row r="67" spans="1:13" ht="40.5" x14ac:dyDescent="0.25">
      <c r="A67" s="51">
        <v>4260</v>
      </c>
      <c r="B67" s="9" t="s">
        <v>413</v>
      </c>
      <c r="C67" s="54" t="s">
        <v>19</v>
      </c>
      <c r="D67" s="21">
        <f>SUM(D69:D76)</f>
        <v>329931.30000000005</v>
      </c>
      <c r="E67" s="21">
        <f>SUM(E69:E76)</f>
        <v>329931.30000000005</v>
      </c>
      <c r="F67" s="21" t="s">
        <v>1</v>
      </c>
      <c r="G67" s="21">
        <f>SUM(G69:G76)</f>
        <v>150760.24861660082</v>
      </c>
      <c r="H67" s="21">
        <f>SUM(H69:H76)</f>
        <v>195878.73083003968</v>
      </c>
      <c r="I67" s="21">
        <f>SUM(I69:I76)</f>
        <v>258390.1932806324</v>
      </c>
      <c r="J67" s="21">
        <f>SUM(J69:J76)</f>
        <v>329931.30000000005</v>
      </c>
      <c r="K67" s="33">
        <f t="shared" si="4"/>
        <v>0</v>
      </c>
      <c r="L67" s="19"/>
      <c r="M67" s="154"/>
    </row>
    <row r="68" spans="1:13" x14ac:dyDescent="0.25">
      <c r="A68" s="51"/>
      <c r="B68" s="11" t="s">
        <v>156</v>
      </c>
      <c r="C68" s="54"/>
      <c r="D68" s="21"/>
      <c r="E68" s="21"/>
      <c r="F68" s="21"/>
      <c r="G68" s="21"/>
      <c r="H68" s="21"/>
      <c r="I68" s="21"/>
      <c r="J68" s="21"/>
      <c r="K68" s="33">
        <f t="shared" si="4"/>
        <v>0</v>
      </c>
      <c r="L68" s="19"/>
      <c r="M68" s="154"/>
    </row>
    <row r="69" spans="1:13" x14ac:dyDescent="0.25">
      <c r="A69" s="51">
        <v>4261</v>
      </c>
      <c r="B69" s="9" t="s">
        <v>414</v>
      </c>
      <c r="C69" s="54" t="s">
        <v>44</v>
      </c>
      <c r="D69" s="21">
        <f>+'4.Gorcarakan ev tntesagitakan'!G38+'4.Gorcarakan ev tntesagitakan'!G86+'4.Gorcarakan ev tntesagitakan'!G158+'4.Gorcarakan ev tntesagitakan'!G368+'4.Gorcarakan ev tntesagitakan'!G749+'4.Gorcarakan ev tntesagitakan'!G766</f>
        <v>10160</v>
      </c>
      <c r="E69" s="21">
        <f>+'4.Gorcarakan ev tntesagitakan'!H38+'4.Gorcarakan ev tntesagitakan'!H86+'4.Gorcarakan ev tntesagitakan'!H158+'4.Gorcarakan ev tntesagitakan'!H368+'4.Gorcarakan ev tntesagitakan'!H749+'4.Gorcarakan ev tntesagitakan'!H766</f>
        <v>10160</v>
      </c>
      <c r="F69" s="21" t="s">
        <v>1</v>
      </c>
      <c r="G69" s="21">
        <f>+'4.Gorcarakan ev tntesagitakan'!J38+'4.Gorcarakan ev tntesagitakan'!J86+'4.Gorcarakan ev tntesagitakan'!J158+'4.Gorcarakan ev tntesagitakan'!J368+'4.Gorcarakan ev tntesagitakan'!J749+'4.Gorcarakan ev tntesagitakan'!J766</f>
        <v>3489.8023715415047</v>
      </c>
      <c r="H69" s="21">
        <f>+'4.Gorcarakan ev tntesagitakan'!K38+'4.Gorcarakan ev tntesagitakan'!K86+'4.Gorcarakan ev tntesagitakan'!K158+'4.Gorcarakan ev tntesagitakan'!K368+'4.Gorcarakan ev tntesagitakan'!K749+'4.Gorcarakan ev tntesagitakan'!K766</f>
        <v>6967.1146245059272</v>
      </c>
      <c r="I69" s="21">
        <f>+'4.Gorcarakan ev tntesagitakan'!L38+'4.Gorcarakan ev tntesagitakan'!L86+'4.Gorcarakan ev tntesagitakan'!L158+'4.Gorcarakan ev tntesagitakan'!L368+'4.Gorcarakan ev tntesagitakan'!L749+'4.Gorcarakan ev tntesagitakan'!L766</f>
        <v>9577.3913043478315</v>
      </c>
      <c r="J69" s="21">
        <f>+'4.Gorcarakan ev tntesagitakan'!M38+'4.Gorcarakan ev tntesagitakan'!M86+'4.Gorcarakan ev tntesagitakan'!M158+'4.Gorcarakan ev tntesagitakan'!M368+'4.Gorcarakan ev tntesagitakan'!M749+'4.Gorcarakan ev tntesagitakan'!M766</f>
        <v>10160</v>
      </c>
      <c r="K69" s="33">
        <f t="shared" si="4"/>
        <v>0</v>
      </c>
      <c r="L69" s="19"/>
      <c r="M69" s="154"/>
    </row>
    <row r="70" spans="1:13" x14ac:dyDescent="0.25">
      <c r="A70" s="51">
        <v>4262</v>
      </c>
      <c r="B70" s="9" t="s">
        <v>415</v>
      </c>
      <c r="C70" s="54" t="s">
        <v>45</v>
      </c>
      <c r="D70" s="21">
        <f>+'4.Gorcarakan ev tntesagitakan'!G403</f>
        <v>3500</v>
      </c>
      <c r="E70" s="21">
        <f>+'4.Gorcarakan ev tntesagitakan'!H403</f>
        <v>3500</v>
      </c>
      <c r="F70" s="21" t="s">
        <v>1</v>
      </c>
      <c r="G70" s="21">
        <f>+'4.Gorcarakan ev tntesagitakan'!J403</f>
        <v>1701.5810276679842</v>
      </c>
      <c r="H70" s="21">
        <f>+'4.Gorcarakan ev tntesagitakan'!K403</f>
        <v>2600.790513833992</v>
      </c>
      <c r="I70" s="21">
        <f>+'4.Gorcarakan ev tntesagitakan'!L403</f>
        <v>2600.790513833992</v>
      </c>
      <c r="J70" s="21">
        <f>+'4.Gorcarakan ev tntesagitakan'!M403</f>
        <v>3500</v>
      </c>
      <c r="K70" s="33">
        <f t="shared" si="4"/>
        <v>0</v>
      </c>
      <c r="L70" s="19"/>
      <c r="M70" s="154"/>
    </row>
    <row r="71" spans="1:13" ht="27" x14ac:dyDescent="0.25">
      <c r="A71" s="51">
        <v>4263</v>
      </c>
      <c r="B71" s="9" t="s">
        <v>416</v>
      </c>
      <c r="C71" s="54" t="s">
        <v>46</v>
      </c>
      <c r="D71" s="21"/>
      <c r="E71" s="21"/>
      <c r="F71" s="21" t="s">
        <v>1</v>
      </c>
      <c r="G71" s="21"/>
      <c r="H71" s="21"/>
      <c r="I71" s="21"/>
      <c r="J71" s="21"/>
      <c r="K71" s="33">
        <f t="shared" si="4"/>
        <v>0</v>
      </c>
      <c r="L71" s="19"/>
      <c r="M71" s="154"/>
    </row>
    <row r="72" spans="1:13" x14ac:dyDescent="0.25">
      <c r="A72" s="51">
        <v>4264</v>
      </c>
      <c r="B72" s="9" t="s">
        <v>417</v>
      </c>
      <c r="C72" s="54" t="s">
        <v>47</v>
      </c>
      <c r="D72" s="21">
        <f>+'4.Gorcarakan ev tntesagitakan'!G39+'4.Gorcarakan ev tntesagitakan'!G159+'4.Gorcarakan ev tntesagitakan'!G369+'4.Gorcarakan ev tntesagitakan'!G404+'4.Gorcarakan ev tntesagitakan'!G456+'4.Gorcarakan ev tntesagitakan'!G768</f>
        <v>195677.05000000002</v>
      </c>
      <c r="E72" s="21">
        <f>+'4.Gorcarakan ev tntesagitakan'!H39+'4.Gorcarakan ev tntesagitakan'!H159+'4.Gorcarakan ev tntesagitakan'!H369+'4.Gorcarakan ev tntesagitakan'!H404+'4.Gorcarakan ev tntesagitakan'!H456+'4.Gorcarakan ev tntesagitakan'!H768</f>
        <v>195677.05000000002</v>
      </c>
      <c r="F72" s="21" t="s">
        <v>1</v>
      </c>
      <c r="G72" s="21">
        <f>+'4.Gorcarakan ev tntesagitakan'!J39+'4.Gorcarakan ev tntesagitakan'!J159+'4.Gorcarakan ev tntesagitakan'!J369+'4.Gorcarakan ev tntesagitakan'!J404+'4.Gorcarakan ev tntesagitakan'!J456+'4.Gorcarakan ev tntesagitakan'!J768</f>
        <v>72997.998616600773</v>
      </c>
      <c r="H72" s="21">
        <f>+'4.Gorcarakan ev tntesagitakan'!K39+'4.Gorcarakan ev tntesagitakan'!K159+'4.Gorcarakan ev tntesagitakan'!K369+'4.Gorcarakan ev tntesagitakan'!K404+'4.Gorcarakan ev tntesagitakan'!K456+'4.Gorcarakan ev tntesagitakan'!K768</f>
        <v>103803.53221343874</v>
      </c>
      <c r="I72" s="21">
        <f>+'4.Gorcarakan ev tntesagitakan'!L39+'4.Gorcarakan ev tntesagitakan'!L159+'4.Gorcarakan ev tntesagitakan'!L369+'4.Gorcarakan ev tntesagitakan'!L404+'4.Gorcarakan ev tntesagitakan'!L456+'4.Gorcarakan ev tntesagitakan'!L768</f>
        <v>149740.29110671935</v>
      </c>
      <c r="J72" s="21">
        <f>+'4.Gorcarakan ev tntesagitakan'!M39+'4.Gorcarakan ev tntesagitakan'!M159+'4.Gorcarakan ev tntesagitakan'!M369+'4.Gorcarakan ev tntesagitakan'!M404+'4.Gorcarakan ev tntesagitakan'!M456+'4.Gorcarakan ev tntesagitakan'!M768</f>
        <v>195677.05000000002</v>
      </c>
      <c r="K72" s="33">
        <f t="shared" si="4"/>
        <v>0</v>
      </c>
      <c r="L72" s="19"/>
      <c r="M72" s="154"/>
    </row>
    <row r="73" spans="1:13" ht="27" x14ac:dyDescent="0.25">
      <c r="A73" s="51">
        <v>4265</v>
      </c>
      <c r="B73" s="9" t="s">
        <v>418</v>
      </c>
      <c r="C73" s="54" t="s">
        <v>48</v>
      </c>
      <c r="D73" s="21"/>
      <c r="E73" s="21"/>
      <c r="F73" s="21" t="s">
        <v>1</v>
      </c>
      <c r="G73" s="21"/>
      <c r="H73" s="21"/>
      <c r="I73" s="21"/>
      <c r="J73" s="21"/>
      <c r="K73" s="33">
        <f t="shared" si="4"/>
        <v>0</v>
      </c>
      <c r="L73" s="19"/>
      <c r="M73" s="154"/>
    </row>
    <row r="74" spans="1:13" x14ac:dyDescent="0.25">
      <c r="A74" s="51">
        <v>4266</v>
      </c>
      <c r="B74" s="9" t="s">
        <v>419</v>
      </c>
      <c r="C74" s="54" t="s">
        <v>49</v>
      </c>
      <c r="D74" s="21"/>
      <c r="E74" s="21"/>
      <c r="F74" s="21" t="s">
        <v>1</v>
      </c>
      <c r="G74" s="21"/>
      <c r="H74" s="21"/>
      <c r="I74" s="21"/>
      <c r="J74" s="21"/>
      <c r="K74" s="33">
        <f t="shared" si="4"/>
        <v>0</v>
      </c>
      <c r="L74" s="19"/>
      <c r="M74" s="154"/>
    </row>
    <row r="75" spans="1:13" x14ac:dyDescent="0.25">
      <c r="A75" s="51">
        <v>4267</v>
      </c>
      <c r="B75" s="9" t="s">
        <v>420</v>
      </c>
      <c r="C75" s="54" t="s">
        <v>50</v>
      </c>
      <c r="D75" s="21"/>
      <c r="E75" s="21"/>
      <c r="F75" s="21" t="s">
        <v>1</v>
      </c>
      <c r="G75" s="21"/>
      <c r="H75" s="21"/>
      <c r="I75" s="21"/>
      <c r="J75" s="21"/>
      <c r="K75" s="33">
        <f t="shared" si="4"/>
        <v>0</v>
      </c>
      <c r="L75" s="19"/>
      <c r="M75" s="154"/>
    </row>
    <row r="76" spans="1:13" x14ac:dyDescent="0.25">
      <c r="A76" s="51">
        <v>4268</v>
      </c>
      <c r="B76" s="9" t="s">
        <v>421</v>
      </c>
      <c r="C76" s="54" t="s">
        <v>51</v>
      </c>
      <c r="D76" s="21">
        <f>+'4.Gorcarakan ev tntesagitakan'!G40+'4.Gorcarakan ev tntesagitakan'!G87+'4.Gorcarakan ev tntesagitakan'!G285+'4.Gorcarakan ev tntesagitakan'!G370+'4.Gorcarakan ev tntesagitakan'!G405+'4.Gorcarakan ev tntesagitakan'!G436+'4.Gorcarakan ev tntesagitakan'!G457+'4.Gorcarakan ev tntesagitakan'!G592</f>
        <v>120594.25</v>
      </c>
      <c r="E76" s="21">
        <f>+'4.Gorcarakan ev tntesagitakan'!H40+'4.Gorcarakan ev tntesagitakan'!H87+'4.Gorcarakan ev tntesagitakan'!H285+'4.Gorcarakan ev tntesagitakan'!H370+'4.Gorcarakan ev tntesagitakan'!H405+'4.Gorcarakan ev tntesagitakan'!H436+'4.Gorcarakan ev tntesagitakan'!H457+'4.Gorcarakan ev tntesagitakan'!H592</f>
        <v>120594.25</v>
      </c>
      <c r="F76" s="21" t="s">
        <v>1</v>
      </c>
      <c r="G76" s="21">
        <f>+'4.Gorcarakan ev tntesagitakan'!J40+'4.Gorcarakan ev tntesagitakan'!J87+'4.Gorcarakan ev tntesagitakan'!J285+'4.Gorcarakan ev tntesagitakan'!J370+'4.Gorcarakan ev tntesagitakan'!J405+'4.Gorcarakan ev tntesagitakan'!J436+'4.Gorcarakan ev tntesagitakan'!J457+'4.Gorcarakan ev tntesagitakan'!J592</f>
        <v>72570.866600790556</v>
      </c>
      <c r="H76" s="21">
        <f>+'4.Gorcarakan ev tntesagitakan'!K40+'4.Gorcarakan ev tntesagitakan'!K87+'4.Gorcarakan ev tntesagitakan'!K285+'4.Gorcarakan ev tntesagitakan'!K370+'4.Gorcarakan ev tntesagitakan'!K405+'4.Gorcarakan ev tntesagitakan'!K436+'4.Gorcarakan ev tntesagitakan'!K457+'4.Gorcarakan ev tntesagitakan'!K592</f>
        <v>82507.293478261025</v>
      </c>
      <c r="I76" s="21">
        <f>+'4.Gorcarakan ev tntesagitakan'!L40+'4.Gorcarakan ev tntesagitakan'!L87+'4.Gorcarakan ev tntesagitakan'!L285+'4.Gorcarakan ev tntesagitakan'!L370+'4.Gorcarakan ev tntesagitakan'!L405+'4.Gorcarakan ev tntesagitakan'!L436+'4.Gorcarakan ev tntesagitakan'!L457+'4.Gorcarakan ev tntesagitakan'!L592</f>
        <v>96471.720355731231</v>
      </c>
      <c r="J76" s="21">
        <f>+'4.Gorcarakan ev tntesagitakan'!M40+'4.Gorcarakan ev tntesagitakan'!M87+'4.Gorcarakan ev tntesagitakan'!M285+'4.Gorcarakan ev tntesagitakan'!M370+'4.Gorcarakan ev tntesagitakan'!M405+'4.Gorcarakan ev tntesagitakan'!M436+'4.Gorcarakan ev tntesagitakan'!M457+'4.Gorcarakan ev tntesagitakan'!M592</f>
        <v>120594.25</v>
      </c>
      <c r="K76" s="33">
        <f t="shared" si="4"/>
        <v>0</v>
      </c>
      <c r="L76" s="19"/>
      <c r="M76" s="154"/>
    </row>
    <row r="77" spans="1:13" x14ac:dyDescent="0.25">
      <c r="A77" s="51">
        <v>4300</v>
      </c>
      <c r="B77" s="9" t="s">
        <v>422</v>
      </c>
      <c r="C77" s="54" t="s">
        <v>19</v>
      </c>
      <c r="D77" s="21">
        <f>SUM(D79,D83,D87)</f>
        <v>181100</v>
      </c>
      <c r="E77" s="21">
        <f>SUM(E79,E83,E87)</f>
        <v>181100</v>
      </c>
      <c r="F77" s="21" t="s">
        <v>0</v>
      </c>
      <c r="G77" s="21">
        <f>SUM(G79,G83,G87)</f>
        <v>45600</v>
      </c>
      <c r="H77" s="21">
        <f>SUM(H79,H83,H87)</f>
        <v>101100</v>
      </c>
      <c r="I77" s="21">
        <f>SUM(I79,I83,I87)</f>
        <v>135100</v>
      </c>
      <c r="J77" s="21">
        <f>SUM(J79,J83,J87)</f>
        <v>181100</v>
      </c>
      <c r="K77" s="33">
        <f t="shared" si="4"/>
        <v>0</v>
      </c>
      <c r="L77" s="19"/>
      <c r="M77" s="154"/>
    </row>
    <row r="78" spans="1:13" x14ac:dyDescent="0.25">
      <c r="A78" s="51"/>
      <c r="B78" s="11" t="s">
        <v>376</v>
      </c>
      <c r="C78" s="52"/>
      <c r="D78" s="21"/>
      <c r="E78" s="21"/>
      <c r="F78" s="21"/>
      <c r="G78" s="21"/>
      <c r="H78" s="21"/>
      <c r="I78" s="21"/>
      <c r="J78" s="21"/>
      <c r="K78" s="33">
        <f t="shared" si="4"/>
        <v>0</v>
      </c>
      <c r="L78" s="19"/>
      <c r="M78" s="154"/>
    </row>
    <row r="79" spans="1:13" x14ac:dyDescent="0.25">
      <c r="A79" s="51">
        <v>4310</v>
      </c>
      <c r="B79" s="9" t="s">
        <v>423</v>
      </c>
      <c r="C79" s="54" t="s">
        <v>19</v>
      </c>
      <c r="D79" s="21">
        <f>SUM(D81:D82)</f>
        <v>181100</v>
      </c>
      <c r="E79" s="21">
        <f>SUM(E81:E82)</f>
        <v>181100</v>
      </c>
      <c r="F79" s="21" t="s">
        <v>0</v>
      </c>
      <c r="G79" s="21">
        <f>SUM(G81:G82)</f>
        <v>45600</v>
      </c>
      <c r="H79" s="21">
        <f>SUM(H81:H82)</f>
        <v>101100</v>
      </c>
      <c r="I79" s="21">
        <f>SUM(I81:I82)</f>
        <v>135100</v>
      </c>
      <c r="J79" s="21">
        <f>SUM(J81:J82)</f>
        <v>181100</v>
      </c>
      <c r="K79" s="33">
        <f t="shared" si="4"/>
        <v>0</v>
      </c>
      <c r="L79" s="19"/>
      <c r="M79" s="154"/>
    </row>
    <row r="80" spans="1:13" x14ac:dyDescent="0.25">
      <c r="A80" s="51"/>
      <c r="B80" s="11" t="s">
        <v>156</v>
      </c>
      <c r="C80" s="54"/>
      <c r="D80" s="21"/>
      <c r="E80" s="21"/>
      <c r="F80" s="21"/>
      <c r="G80" s="21"/>
      <c r="H80" s="21"/>
      <c r="I80" s="21"/>
      <c r="J80" s="21"/>
      <c r="K80" s="33">
        <f t="shared" si="4"/>
        <v>0</v>
      </c>
      <c r="L80" s="19"/>
      <c r="M80" s="154"/>
    </row>
    <row r="81" spans="1:13" x14ac:dyDescent="0.25">
      <c r="A81" s="51">
        <v>4311</v>
      </c>
      <c r="B81" s="9" t="s">
        <v>424</v>
      </c>
      <c r="C81" s="54" t="s">
        <v>52</v>
      </c>
      <c r="D81" s="21"/>
      <c r="E81" s="21"/>
      <c r="F81" s="21" t="s">
        <v>1</v>
      </c>
      <c r="G81" s="21"/>
      <c r="H81" s="21"/>
      <c r="I81" s="21"/>
      <c r="J81" s="21"/>
      <c r="K81" s="33">
        <f t="shared" si="4"/>
        <v>0</v>
      </c>
      <c r="L81" s="19"/>
      <c r="M81" s="154"/>
    </row>
    <row r="82" spans="1:13" x14ac:dyDescent="0.25">
      <c r="A82" s="51">
        <v>4312</v>
      </c>
      <c r="B82" s="9" t="s">
        <v>425</v>
      </c>
      <c r="C82" s="54" t="s">
        <v>53</v>
      </c>
      <c r="D82" s="21">
        <f>+'4.Gorcarakan ev tntesagitakan'!G109</f>
        <v>181100</v>
      </c>
      <c r="E82" s="21">
        <f>+'4.Gorcarakan ev tntesagitakan'!H109</f>
        <v>181100</v>
      </c>
      <c r="F82" s="21" t="s">
        <v>1</v>
      </c>
      <c r="G82" s="21">
        <f>+'4.Gorcarakan ev tntesagitakan'!J109</f>
        <v>45600</v>
      </c>
      <c r="H82" s="21">
        <f>+'4.Gorcarakan ev tntesagitakan'!K109</f>
        <v>101100</v>
      </c>
      <c r="I82" s="21">
        <f>+'4.Gorcarakan ev tntesagitakan'!L109</f>
        <v>135100</v>
      </c>
      <c r="J82" s="21">
        <f>+'4.Gorcarakan ev tntesagitakan'!M109</f>
        <v>181100</v>
      </c>
      <c r="K82" s="33">
        <f t="shared" si="4"/>
        <v>0</v>
      </c>
      <c r="L82" s="19"/>
      <c r="M82" s="154"/>
    </row>
    <row r="83" spans="1:13" x14ac:dyDescent="0.25">
      <c r="A83" s="51">
        <v>4320</v>
      </c>
      <c r="B83" s="9" t="s">
        <v>426</v>
      </c>
      <c r="C83" s="54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  <c r="K83" s="33">
        <f t="shared" si="4"/>
        <v>0</v>
      </c>
      <c r="L83" s="19"/>
      <c r="M83" s="154"/>
    </row>
    <row r="84" spans="1:13" x14ac:dyDescent="0.25">
      <c r="A84" s="51"/>
      <c r="B84" s="11" t="s">
        <v>156</v>
      </c>
      <c r="C84" s="54"/>
      <c r="D84" s="21"/>
      <c r="E84" s="21"/>
      <c r="F84" s="21"/>
      <c r="G84" s="21"/>
      <c r="H84" s="21"/>
      <c r="I84" s="21"/>
      <c r="J84" s="21"/>
      <c r="K84" s="33">
        <f t="shared" ref="K84:K147" si="7">+D84-J84</f>
        <v>0</v>
      </c>
      <c r="L84" s="19"/>
      <c r="M84" s="154"/>
    </row>
    <row r="85" spans="1:13" x14ac:dyDescent="0.25">
      <c r="A85" s="51">
        <v>4321</v>
      </c>
      <c r="B85" s="9" t="s">
        <v>427</v>
      </c>
      <c r="C85" s="54" t="s">
        <v>54</v>
      </c>
      <c r="D85" s="21"/>
      <c r="E85" s="21"/>
      <c r="F85" s="21" t="s">
        <v>1</v>
      </c>
      <c r="G85" s="21"/>
      <c r="H85" s="21"/>
      <c r="I85" s="21"/>
      <c r="J85" s="21"/>
      <c r="K85" s="33">
        <f t="shared" si="7"/>
        <v>0</v>
      </c>
      <c r="L85" s="19"/>
      <c r="M85" s="154"/>
    </row>
    <row r="86" spans="1:13" x14ac:dyDescent="0.25">
      <c r="A86" s="51">
        <v>4322</v>
      </c>
      <c r="B86" s="9" t="s">
        <v>428</v>
      </c>
      <c r="C86" s="54" t="s">
        <v>55</v>
      </c>
      <c r="D86" s="21"/>
      <c r="E86" s="21"/>
      <c r="F86" s="21" t="s">
        <v>1</v>
      </c>
      <c r="G86" s="21"/>
      <c r="H86" s="21"/>
      <c r="I86" s="21"/>
      <c r="J86" s="21"/>
      <c r="K86" s="33">
        <f t="shared" si="7"/>
        <v>0</v>
      </c>
      <c r="L86" s="19"/>
      <c r="M86" s="154"/>
    </row>
    <row r="87" spans="1:13" ht="27" x14ac:dyDescent="0.25">
      <c r="A87" s="51">
        <v>4330</v>
      </c>
      <c r="B87" s="9" t="s">
        <v>429</v>
      </c>
      <c r="C87" s="54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  <c r="K87" s="33">
        <f t="shared" si="7"/>
        <v>0</v>
      </c>
      <c r="L87" s="19"/>
      <c r="M87" s="154"/>
    </row>
    <row r="88" spans="1:13" x14ac:dyDescent="0.25">
      <c r="A88" s="51"/>
      <c r="B88" s="11" t="s">
        <v>156</v>
      </c>
      <c r="C88" s="54"/>
      <c r="D88" s="21"/>
      <c r="E88" s="21"/>
      <c r="F88" s="21"/>
      <c r="G88" s="21"/>
      <c r="H88" s="21"/>
      <c r="I88" s="21"/>
      <c r="J88" s="21"/>
      <c r="K88" s="33">
        <f t="shared" si="7"/>
        <v>0</v>
      </c>
      <c r="L88" s="19"/>
      <c r="M88" s="154"/>
    </row>
    <row r="89" spans="1:13" x14ac:dyDescent="0.25">
      <c r="A89" s="51">
        <v>4331</v>
      </c>
      <c r="B89" s="9" t="s">
        <v>430</v>
      </c>
      <c r="C89" s="54" t="s">
        <v>56</v>
      </c>
      <c r="D89" s="21"/>
      <c r="E89" s="21"/>
      <c r="F89" s="21" t="s">
        <v>1</v>
      </c>
      <c r="G89" s="21"/>
      <c r="H89" s="21"/>
      <c r="I89" s="21"/>
      <c r="J89" s="21"/>
      <c r="K89" s="33">
        <f t="shared" si="7"/>
        <v>0</v>
      </c>
      <c r="L89" s="19"/>
      <c r="M89" s="154"/>
    </row>
    <row r="90" spans="1:13" x14ac:dyDescent="0.25">
      <c r="A90" s="51">
        <v>4332</v>
      </c>
      <c r="B90" s="9" t="s">
        <v>431</v>
      </c>
      <c r="C90" s="54" t="s">
        <v>57</v>
      </c>
      <c r="D90" s="21"/>
      <c r="E90" s="21"/>
      <c r="F90" s="21" t="s">
        <v>1</v>
      </c>
      <c r="G90" s="21"/>
      <c r="H90" s="21"/>
      <c r="I90" s="21"/>
      <c r="J90" s="21"/>
      <c r="K90" s="33">
        <f t="shared" si="7"/>
        <v>0</v>
      </c>
      <c r="L90" s="19"/>
      <c r="M90" s="154"/>
    </row>
    <row r="91" spans="1:13" x14ac:dyDescent="0.25">
      <c r="A91" s="51">
        <v>4333</v>
      </c>
      <c r="B91" s="9" t="s">
        <v>432</v>
      </c>
      <c r="C91" s="54" t="s">
        <v>58</v>
      </c>
      <c r="D91" s="21"/>
      <c r="E91" s="21"/>
      <c r="F91" s="21" t="s">
        <v>1</v>
      </c>
      <c r="G91" s="21"/>
      <c r="H91" s="21"/>
      <c r="I91" s="21"/>
      <c r="J91" s="21"/>
      <c r="K91" s="33">
        <f t="shared" si="7"/>
        <v>0</v>
      </c>
      <c r="L91" s="19"/>
      <c r="M91" s="154"/>
    </row>
    <row r="92" spans="1:13" x14ac:dyDescent="0.25">
      <c r="A92" s="51">
        <v>4400</v>
      </c>
      <c r="B92" s="9" t="s">
        <v>433</v>
      </c>
      <c r="C92" s="54" t="s">
        <v>19</v>
      </c>
      <c r="D92" s="21">
        <f>SUM(D94,D98)</f>
        <v>2071665.9539999999</v>
      </c>
      <c r="E92" s="21">
        <f>SUM(E94,E98)</f>
        <v>2071665.9539999999</v>
      </c>
      <c r="F92" s="21" t="s">
        <v>0</v>
      </c>
      <c r="G92" s="21">
        <f>SUM(G94,G98)</f>
        <v>450286.23725296359</v>
      </c>
      <c r="H92" s="21">
        <f>SUM(H94,H98)</f>
        <v>981086.92243873538</v>
      </c>
      <c r="I92" s="21">
        <f>SUM(I94,I98)</f>
        <v>1536813.471964427</v>
      </c>
      <c r="J92" s="21">
        <f>SUM(J94,J98)</f>
        <v>2071665.9539999999</v>
      </c>
      <c r="K92" s="33">
        <f t="shared" si="7"/>
        <v>0</v>
      </c>
      <c r="L92" s="19"/>
      <c r="M92" s="154"/>
    </row>
    <row r="93" spans="1:13" x14ac:dyDescent="0.25">
      <c r="A93" s="51"/>
      <c r="B93" s="11" t="s">
        <v>376</v>
      </c>
      <c r="C93" s="52"/>
      <c r="D93" s="21"/>
      <c r="E93" s="21"/>
      <c r="F93" s="21"/>
      <c r="G93" s="21"/>
      <c r="H93" s="21"/>
      <c r="I93" s="21"/>
      <c r="J93" s="21"/>
      <c r="K93" s="33">
        <f t="shared" si="7"/>
        <v>0</v>
      </c>
      <c r="L93" s="19"/>
      <c r="M93" s="154"/>
    </row>
    <row r="94" spans="1:13" ht="27" x14ac:dyDescent="0.25">
      <c r="A94" s="51">
        <v>4410</v>
      </c>
      <c r="B94" s="9" t="s">
        <v>434</v>
      </c>
      <c r="C94" s="54" t="s">
        <v>19</v>
      </c>
      <c r="D94" s="21">
        <f>SUM(D96:D97)</f>
        <v>2034289.9539999999</v>
      </c>
      <c r="E94" s="21">
        <f>SUM(E96:E97)</f>
        <v>2034289.9539999999</v>
      </c>
      <c r="F94" s="21" t="s">
        <v>0</v>
      </c>
      <c r="G94" s="21">
        <f>SUM(G96:G97)</f>
        <v>437823.28073122445</v>
      </c>
      <c r="H94" s="21">
        <f>SUM(H96:H97)</f>
        <v>960667.44417786575</v>
      </c>
      <c r="I94" s="21">
        <f>SUM(I96:I97)</f>
        <v>1507915.7328339922</v>
      </c>
      <c r="J94" s="21">
        <f>SUM(J96:J97)</f>
        <v>2034289.9539999999</v>
      </c>
      <c r="K94" s="33">
        <f t="shared" si="7"/>
        <v>0</v>
      </c>
      <c r="L94" s="19"/>
      <c r="M94" s="154"/>
    </row>
    <row r="95" spans="1:13" x14ac:dyDescent="0.25">
      <c r="A95" s="51"/>
      <c r="B95" s="11" t="s">
        <v>156</v>
      </c>
      <c r="C95" s="54"/>
      <c r="D95" s="21"/>
      <c r="E95" s="21"/>
      <c r="F95" s="21"/>
      <c r="G95" s="21"/>
      <c r="H95" s="21"/>
      <c r="I95" s="21"/>
      <c r="J95" s="21"/>
      <c r="K95" s="33">
        <f t="shared" si="7"/>
        <v>0</v>
      </c>
      <c r="L95" s="19"/>
      <c r="M95" s="154"/>
    </row>
    <row r="96" spans="1:13" ht="27" x14ac:dyDescent="0.25">
      <c r="A96" s="51">
        <v>4411</v>
      </c>
      <c r="B96" s="9" t="s">
        <v>435</v>
      </c>
      <c r="C96" s="54" t="s">
        <v>59</v>
      </c>
      <c r="D96" s="21">
        <f>+'4.Gorcarakan ev tntesagitakan'!G459+'4.Gorcarakan ev tntesagitakan'!G548+'4.Gorcarakan ev tntesagitakan'!G559+'4.Gorcarakan ev tntesagitakan'!G566+'4.Gorcarakan ev tntesagitakan'!G572+'4.Gorcarakan ev tntesagitakan'!G643</f>
        <v>2034289.9539999999</v>
      </c>
      <c r="E96" s="21">
        <f>+'4.Gorcarakan ev tntesagitakan'!H459+'4.Gorcarakan ev tntesagitakan'!H548+'4.Gorcarakan ev tntesagitakan'!H559+'4.Gorcarakan ev tntesagitakan'!H566+'4.Gorcarakan ev tntesagitakan'!H572+'4.Gorcarakan ev tntesagitakan'!H643</f>
        <v>2034289.9539999999</v>
      </c>
      <c r="F96" s="21" t="s">
        <v>0</v>
      </c>
      <c r="G96" s="21">
        <f>+'4.Gorcarakan ev tntesagitakan'!J459+'4.Gorcarakan ev tntesagitakan'!J548+'4.Gorcarakan ev tntesagitakan'!J559+'4.Gorcarakan ev tntesagitakan'!J566+'4.Gorcarakan ev tntesagitakan'!J572+'4.Gorcarakan ev tntesagitakan'!J643</f>
        <v>437823.28073122445</v>
      </c>
      <c r="H96" s="21">
        <f>+'4.Gorcarakan ev tntesagitakan'!K459+'4.Gorcarakan ev tntesagitakan'!K548+'4.Gorcarakan ev tntesagitakan'!K559+'4.Gorcarakan ev tntesagitakan'!K566+'4.Gorcarakan ev tntesagitakan'!K572+'4.Gorcarakan ev tntesagitakan'!K643</f>
        <v>960667.44417786575</v>
      </c>
      <c r="I96" s="21">
        <f>+'4.Gorcarakan ev tntesagitakan'!L459+'4.Gorcarakan ev tntesagitakan'!L548+'4.Gorcarakan ev tntesagitakan'!L559+'4.Gorcarakan ev tntesagitakan'!L566+'4.Gorcarakan ev tntesagitakan'!L572+'4.Gorcarakan ev tntesagitakan'!L643</f>
        <v>1507915.7328339922</v>
      </c>
      <c r="J96" s="21">
        <f>+'4.Gorcarakan ev tntesagitakan'!M459+'4.Gorcarakan ev tntesagitakan'!M548+'4.Gorcarakan ev tntesagitakan'!M559+'4.Gorcarakan ev tntesagitakan'!M566+'4.Gorcarakan ev tntesagitakan'!M572+'4.Gorcarakan ev tntesagitakan'!M643</f>
        <v>2034289.9539999999</v>
      </c>
      <c r="K96" s="33">
        <f t="shared" si="7"/>
        <v>0</v>
      </c>
      <c r="L96" s="19"/>
      <c r="M96" s="154"/>
    </row>
    <row r="97" spans="1:13" ht="27" x14ac:dyDescent="0.25">
      <c r="A97" s="51">
        <v>4412</v>
      </c>
      <c r="B97" s="9" t="s">
        <v>436</v>
      </c>
      <c r="C97" s="54" t="s">
        <v>60</v>
      </c>
      <c r="D97" s="21"/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SUM(J97:L97)</f>
        <v>0</v>
      </c>
      <c r="J97" s="21">
        <f>SUM(L97:L97)</f>
        <v>0</v>
      </c>
      <c r="K97" s="33">
        <f t="shared" si="7"/>
        <v>0</v>
      </c>
      <c r="L97" s="19"/>
      <c r="M97" s="154"/>
    </row>
    <row r="98" spans="1:13" ht="27" x14ac:dyDescent="0.25">
      <c r="A98" s="51">
        <v>4420</v>
      </c>
      <c r="B98" s="9" t="s">
        <v>437</v>
      </c>
      <c r="C98" s="54" t="s">
        <v>19</v>
      </c>
      <c r="D98" s="21">
        <f>SUM(D100:D101)</f>
        <v>37376</v>
      </c>
      <c r="E98" s="21">
        <f>SUM(E100:E101)</f>
        <v>37376</v>
      </c>
      <c r="F98" s="21" t="s">
        <v>0</v>
      </c>
      <c r="G98" s="21">
        <f>SUM(G100:G101)</f>
        <v>12462.956521739132</v>
      </c>
      <c r="H98" s="21">
        <f>SUM(H100:H101)</f>
        <v>20419.478260869568</v>
      </c>
      <c r="I98" s="21">
        <f>SUM(I100:I101)</f>
        <v>28897.739130434784</v>
      </c>
      <c r="J98" s="21">
        <f>SUM(J100:J101)</f>
        <v>37376</v>
      </c>
      <c r="K98" s="33">
        <f t="shared" si="7"/>
        <v>0</v>
      </c>
      <c r="L98" s="19"/>
      <c r="M98" s="154"/>
    </row>
    <row r="99" spans="1:13" x14ac:dyDescent="0.25">
      <c r="A99" s="51"/>
      <c r="B99" s="11" t="s">
        <v>156</v>
      </c>
      <c r="C99" s="54"/>
      <c r="D99" s="21"/>
      <c r="E99" s="21"/>
      <c r="F99" s="21"/>
      <c r="G99" s="21"/>
      <c r="H99" s="21"/>
      <c r="I99" s="21"/>
      <c r="J99" s="21"/>
      <c r="K99" s="33">
        <f t="shared" si="7"/>
        <v>0</v>
      </c>
      <c r="L99" s="19"/>
      <c r="M99" s="154"/>
    </row>
    <row r="100" spans="1:13" ht="27" x14ac:dyDescent="0.25">
      <c r="A100" s="51">
        <v>4421</v>
      </c>
      <c r="B100" s="9" t="s">
        <v>438</v>
      </c>
      <c r="C100" s="54" t="s">
        <v>61</v>
      </c>
      <c r="D100" s="21">
        <f>+'4.Gorcarakan ev tntesagitakan'!G161+'4.Gorcarakan ev tntesagitakan'!G458</f>
        <v>37376</v>
      </c>
      <c r="E100" s="21">
        <f>+'4.Gorcarakan ev tntesagitakan'!H161+'4.Gorcarakan ev tntesagitakan'!H458</f>
        <v>37376</v>
      </c>
      <c r="F100" s="21" t="s">
        <v>1</v>
      </c>
      <c r="G100" s="21">
        <f>+'4.Gorcarakan ev tntesagitakan'!J161+'4.Gorcarakan ev tntesagitakan'!J458</f>
        <v>12462.956521739132</v>
      </c>
      <c r="H100" s="21">
        <f>+'4.Gorcarakan ev tntesagitakan'!K161+'4.Gorcarakan ev tntesagitakan'!K458</f>
        <v>20419.478260869568</v>
      </c>
      <c r="I100" s="21">
        <f>+'4.Gorcarakan ev tntesagitakan'!L161+'4.Gorcarakan ev tntesagitakan'!L458</f>
        <v>28897.739130434784</v>
      </c>
      <c r="J100" s="21">
        <f>+'4.Gorcarakan ev tntesagitakan'!M161+'4.Gorcarakan ev tntesagitakan'!M458</f>
        <v>37376</v>
      </c>
      <c r="K100" s="33">
        <f t="shared" si="7"/>
        <v>0</v>
      </c>
      <c r="L100" s="19"/>
      <c r="M100" s="154"/>
    </row>
    <row r="101" spans="1:13" ht="27" x14ac:dyDescent="0.25">
      <c r="A101" s="51">
        <v>4422</v>
      </c>
      <c r="B101" s="9" t="s">
        <v>439</v>
      </c>
      <c r="C101" s="54" t="s">
        <v>62</v>
      </c>
      <c r="D101" s="21"/>
      <c r="E101" s="21"/>
      <c r="F101" s="21" t="s">
        <v>1</v>
      </c>
      <c r="G101" s="21"/>
      <c r="H101" s="21"/>
      <c r="I101" s="21"/>
      <c r="J101" s="21"/>
      <c r="K101" s="33">
        <f t="shared" si="7"/>
        <v>0</v>
      </c>
      <c r="L101" s="19"/>
      <c r="M101" s="154"/>
    </row>
    <row r="102" spans="1:13" ht="27" x14ac:dyDescent="0.25">
      <c r="A102" s="51">
        <v>4500</v>
      </c>
      <c r="B102" s="9" t="s">
        <v>440</v>
      </c>
      <c r="C102" s="54" t="s">
        <v>19</v>
      </c>
      <c r="D102" s="21">
        <f>SUM(D104,D108,D112,D123)</f>
        <v>40000</v>
      </c>
      <c r="E102" s="21">
        <f>SUM(E104,E108,E112,E123)</f>
        <v>40000</v>
      </c>
      <c r="F102" s="21" t="s">
        <v>0</v>
      </c>
      <c r="G102" s="21">
        <f>SUM(G104,G108,G112,G123)</f>
        <v>9802.371541501976</v>
      </c>
      <c r="H102" s="21">
        <f>SUM(H104,H108,H112,H123)</f>
        <v>19446.640316205532</v>
      </c>
      <c r="I102" s="21">
        <f>SUM(I104,I108,I112,I123)</f>
        <v>29723.320158102768</v>
      </c>
      <c r="J102" s="21">
        <f>SUM(J104,J108,J112,J123)</f>
        <v>40000</v>
      </c>
      <c r="K102" s="33">
        <f t="shared" si="7"/>
        <v>0</v>
      </c>
      <c r="L102" s="19"/>
      <c r="M102" s="154"/>
    </row>
    <row r="103" spans="1:13" x14ac:dyDescent="0.25">
      <c r="A103" s="51"/>
      <c r="B103" s="11" t="s">
        <v>376</v>
      </c>
      <c r="C103" s="52"/>
      <c r="D103" s="21"/>
      <c r="E103" s="21"/>
      <c r="F103" s="21"/>
      <c r="G103" s="21"/>
      <c r="H103" s="21"/>
      <c r="I103" s="21"/>
      <c r="J103" s="21"/>
      <c r="K103" s="33">
        <f t="shared" si="7"/>
        <v>0</v>
      </c>
      <c r="L103" s="19"/>
      <c r="M103" s="154"/>
    </row>
    <row r="104" spans="1:13" ht="27" x14ac:dyDescent="0.25">
      <c r="A104" s="51">
        <v>4510</v>
      </c>
      <c r="B104" s="9" t="s">
        <v>441</v>
      </c>
      <c r="C104" s="54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  <c r="K104" s="33">
        <f t="shared" si="7"/>
        <v>0</v>
      </c>
      <c r="L104" s="19"/>
      <c r="M104" s="154"/>
    </row>
    <row r="105" spans="1:13" x14ac:dyDescent="0.25">
      <c r="A105" s="51"/>
      <c r="B105" s="11" t="s">
        <v>156</v>
      </c>
      <c r="C105" s="54"/>
      <c r="D105" s="21"/>
      <c r="E105" s="21"/>
      <c r="F105" s="21"/>
      <c r="G105" s="21"/>
      <c r="H105" s="21"/>
      <c r="I105" s="21"/>
      <c r="J105" s="21"/>
      <c r="K105" s="33">
        <f t="shared" si="7"/>
        <v>0</v>
      </c>
      <c r="L105" s="19"/>
      <c r="M105" s="154"/>
    </row>
    <row r="106" spans="1:13" ht="27" x14ac:dyDescent="0.25">
      <c r="A106" s="51">
        <v>4511</v>
      </c>
      <c r="B106" s="9" t="s">
        <v>442</v>
      </c>
      <c r="C106" s="54" t="s">
        <v>63</v>
      </c>
      <c r="D106" s="21"/>
      <c r="E106" s="225"/>
      <c r="F106" s="21" t="s">
        <v>1</v>
      </c>
      <c r="G106" s="21"/>
      <c r="H106" s="21"/>
      <c r="I106" s="21"/>
      <c r="J106" s="21"/>
      <c r="K106" s="33">
        <f t="shared" si="7"/>
        <v>0</v>
      </c>
      <c r="L106" s="19"/>
      <c r="M106" s="154"/>
    </row>
    <row r="107" spans="1:13" ht="27" x14ac:dyDescent="0.25">
      <c r="A107" s="51">
        <v>4512</v>
      </c>
      <c r="B107" s="9" t="s">
        <v>443</v>
      </c>
      <c r="C107" s="54" t="s">
        <v>64</v>
      </c>
      <c r="D107" s="21"/>
      <c r="E107" s="225"/>
      <c r="F107" s="21" t="s">
        <v>1</v>
      </c>
      <c r="G107" s="21"/>
      <c r="H107" s="21"/>
      <c r="I107" s="21"/>
      <c r="J107" s="21"/>
      <c r="K107" s="33">
        <f t="shared" si="7"/>
        <v>0</v>
      </c>
      <c r="L107" s="19"/>
      <c r="M107" s="154"/>
    </row>
    <row r="108" spans="1:13" ht="27" x14ac:dyDescent="0.25">
      <c r="A108" s="51">
        <v>4520</v>
      </c>
      <c r="B108" s="9" t="s">
        <v>444</v>
      </c>
      <c r="C108" s="54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  <c r="K108" s="33">
        <f t="shared" si="7"/>
        <v>0</v>
      </c>
      <c r="L108" s="19"/>
      <c r="M108" s="154"/>
    </row>
    <row r="109" spans="1:13" x14ac:dyDescent="0.25">
      <c r="A109" s="51"/>
      <c r="B109" s="11" t="s">
        <v>156</v>
      </c>
      <c r="C109" s="54"/>
      <c r="D109" s="21"/>
      <c r="E109" s="21"/>
      <c r="F109" s="21"/>
      <c r="G109" s="21"/>
      <c r="H109" s="21"/>
      <c r="I109" s="21"/>
      <c r="J109" s="21"/>
      <c r="K109" s="33">
        <f t="shared" si="7"/>
        <v>0</v>
      </c>
      <c r="L109" s="19"/>
      <c r="M109" s="154"/>
    </row>
    <row r="110" spans="1:13" ht="27" x14ac:dyDescent="0.25">
      <c r="A110" s="51">
        <v>4521</v>
      </c>
      <c r="B110" s="9" t="s">
        <v>445</v>
      </c>
      <c r="C110" s="54" t="s">
        <v>65</v>
      </c>
      <c r="D110" s="21"/>
      <c r="E110" s="21"/>
      <c r="F110" s="21" t="s">
        <v>1</v>
      </c>
      <c r="G110" s="21"/>
      <c r="H110" s="21"/>
      <c r="I110" s="21"/>
      <c r="J110" s="21"/>
      <c r="K110" s="33">
        <f t="shared" si="7"/>
        <v>0</v>
      </c>
      <c r="L110" s="19"/>
      <c r="M110" s="154"/>
    </row>
    <row r="111" spans="1:13" ht="27" x14ac:dyDescent="0.25">
      <c r="A111" s="51">
        <v>4522</v>
      </c>
      <c r="B111" s="9" t="s">
        <v>446</v>
      </c>
      <c r="C111" s="54" t="s">
        <v>66</v>
      </c>
      <c r="D111" s="21"/>
      <c r="E111" s="21"/>
      <c r="F111" s="21" t="s">
        <v>1</v>
      </c>
      <c r="G111" s="21"/>
      <c r="H111" s="21"/>
      <c r="I111" s="21"/>
      <c r="J111" s="21"/>
      <c r="K111" s="33">
        <f t="shared" si="7"/>
        <v>0</v>
      </c>
      <c r="L111" s="19"/>
      <c r="M111" s="154"/>
    </row>
    <row r="112" spans="1:13" ht="27" x14ac:dyDescent="0.25">
      <c r="A112" s="51">
        <v>4530</v>
      </c>
      <c r="B112" s="9" t="s">
        <v>447</v>
      </c>
      <c r="C112" s="54" t="s">
        <v>19</v>
      </c>
      <c r="D112" s="21">
        <f>SUM(D114:D116)</f>
        <v>40000</v>
      </c>
      <c r="E112" s="21">
        <f>SUM(E114:E116)</f>
        <v>40000</v>
      </c>
      <c r="F112" s="21" t="s">
        <v>1</v>
      </c>
      <c r="G112" s="21">
        <f>SUM(G114:G116)</f>
        <v>9802.371541501976</v>
      </c>
      <c r="H112" s="21">
        <f>SUM(H114:H116)</f>
        <v>19446.640316205532</v>
      </c>
      <c r="I112" s="21">
        <f>SUM(I114:I116)</f>
        <v>29723.320158102768</v>
      </c>
      <c r="J112" s="21">
        <f>SUM(J114:J116)</f>
        <v>40000</v>
      </c>
      <c r="K112" s="33">
        <f t="shared" si="7"/>
        <v>0</v>
      </c>
      <c r="L112" s="19"/>
      <c r="M112" s="154"/>
    </row>
    <row r="113" spans="1:13" x14ac:dyDescent="0.25">
      <c r="A113" s="51"/>
      <c r="B113" s="11" t="s">
        <v>156</v>
      </c>
      <c r="C113" s="54"/>
      <c r="D113" s="21"/>
      <c r="E113" s="21"/>
      <c r="F113" s="21" t="s">
        <v>1</v>
      </c>
      <c r="G113" s="21"/>
      <c r="H113" s="21"/>
      <c r="I113" s="21"/>
      <c r="J113" s="21"/>
      <c r="K113" s="33">
        <f t="shared" si="7"/>
        <v>0</v>
      </c>
      <c r="L113" s="19"/>
      <c r="M113" s="154"/>
    </row>
    <row r="114" spans="1:13" ht="27" x14ac:dyDescent="0.25">
      <c r="A114" s="51">
        <v>4531</v>
      </c>
      <c r="B114" s="70" t="s">
        <v>448</v>
      </c>
      <c r="C114" s="54" t="s">
        <v>67</v>
      </c>
      <c r="D114" s="21">
        <f>+'4.Gorcarakan ev tntesagitakan'!G112+'4.Gorcarakan ev tntesagitakan'!G617</f>
        <v>40000</v>
      </c>
      <c r="E114" s="21">
        <f>+'4.Gorcarakan ev tntesagitakan'!H112+'4.Gorcarakan ev tntesagitakan'!H617</f>
        <v>40000</v>
      </c>
      <c r="F114" s="21" t="s">
        <v>1</v>
      </c>
      <c r="G114" s="21">
        <f>+'4.Gorcarakan ev tntesagitakan'!J112+'4.Gorcarakan ev tntesagitakan'!J617</f>
        <v>9802.371541501976</v>
      </c>
      <c r="H114" s="21">
        <f>+'4.Gorcarakan ev tntesagitakan'!K112+'4.Gorcarakan ev tntesagitakan'!K617</f>
        <v>19446.640316205532</v>
      </c>
      <c r="I114" s="21">
        <f>+'4.Gorcarakan ev tntesagitakan'!L112+'4.Gorcarakan ev tntesagitakan'!L617</f>
        <v>29723.320158102768</v>
      </c>
      <c r="J114" s="21">
        <f>+'4.Gorcarakan ev tntesagitakan'!M112+'4.Gorcarakan ev tntesagitakan'!M617</f>
        <v>40000</v>
      </c>
      <c r="K114" s="33">
        <f t="shared" si="7"/>
        <v>0</v>
      </c>
      <c r="L114" s="19"/>
      <c r="M114" s="154"/>
    </row>
    <row r="115" spans="1:13" ht="27" x14ac:dyDescent="0.25">
      <c r="A115" s="51">
        <v>4532</v>
      </c>
      <c r="B115" s="70" t="s">
        <v>449</v>
      </c>
      <c r="C115" s="54" t="s">
        <v>68</v>
      </c>
      <c r="D115" s="21"/>
      <c r="E115" s="21"/>
      <c r="F115" s="21" t="s">
        <v>1</v>
      </c>
      <c r="G115" s="21"/>
      <c r="H115" s="21"/>
      <c r="I115" s="21"/>
      <c r="J115" s="21"/>
      <c r="K115" s="33">
        <f t="shared" si="7"/>
        <v>0</v>
      </c>
      <c r="L115" s="19"/>
      <c r="M115" s="154"/>
    </row>
    <row r="116" spans="1:13" ht="27" x14ac:dyDescent="0.25">
      <c r="A116" s="51">
        <v>4533</v>
      </c>
      <c r="B116" s="70" t="s">
        <v>450</v>
      </c>
      <c r="C116" s="54" t="s">
        <v>69</v>
      </c>
      <c r="D116" s="21"/>
      <c r="E116" s="21"/>
      <c r="F116" s="21" t="s">
        <v>1</v>
      </c>
      <c r="G116" s="21"/>
      <c r="H116" s="21"/>
      <c r="I116" s="21"/>
      <c r="J116" s="21"/>
      <c r="K116" s="33">
        <f t="shared" si="7"/>
        <v>0</v>
      </c>
      <c r="L116" s="19"/>
      <c r="M116" s="154"/>
    </row>
    <row r="117" spans="1:13" x14ac:dyDescent="0.25">
      <c r="A117" s="51"/>
      <c r="B117" s="70" t="s">
        <v>376</v>
      </c>
      <c r="C117" s="54"/>
      <c r="D117" s="21"/>
      <c r="E117" s="21"/>
      <c r="F117" s="21" t="s">
        <v>1</v>
      </c>
      <c r="G117" s="21"/>
      <c r="H117" s="21"/>
      <c r="I117" s="21"/>
      <c r="J117" s="21"/>
      <c r="K117" s="33">
        <f t="shared" si="7"/>
        <v>0</v>
      </c>
      <c r="L117" s="19"/>
      <c r="M117" s="154"/>
    </row>
    <row r="118" spans="1:13" ht="27" x14ac:dyDescent="0.25">
      <c r="A118" s="51">
        <v>4534</v>
      </c>
      <c r="B118" s="70" t="s">
        <v>451</v>
      </c>
      <c r="C118" s="54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  <c r="K118" s="33">
        <f t="shared" si="7"/>
        <v>0</v>
      </c>
      <c r="L118" s="19"/>
      <c r="M118" s="154"/>
    </row>
    <row r="119" spans="1:13" x14ac:dyDescent="0.25">
      <c r="A119" s="51"/>
      <c r="B119" s="70" t="s">
        <v>452</v>
      </c>
      <c r="C119" s="54"/>
      <c r="D119" s="21"/>
      <c r="E119" s="21"/>
      <c r="F119" s="21" t="s">
        <v>1</v>
      </c>
      <c r="G119" s="21"/>
      <c r="H119" s="21"/>
      <c r="I119" s="21"/>
      <c r="J119" s="21"/>
      <c r="K119" s="33">
        <f t="shared" si="7"/>
        <v>0</v>
      </c>
      <c r="L119" s="19"/>
      <c r="M119" s="154"/>
    </row>
    <row r="120" spans="1:13" x14ac:dyDescent="0.25">
      <c r="A120" s="51">
        <v>4536</v>
      </c>
      <c r="B120" s="70" t="s">
        <v>453</v>
      </c>
      <c r="C120" s="54"/>
      <c r="D120" s="21">
        <f>SUM(E120:F120)</f>
        <v>0</v>
      </c>
      <c r="E120" s="21"/>
      <c r="F120" s="21" t="s">
        <v>1</v>
      </c>
      <c r="G120" s="21">
        <f t="shared" ref="G120:H122" si="8">SUM(H120:I120)</f>
        <v>0</v>
      </c>
      <c r="H120" s="21">
        <f t="shared" si="8"/>
        <v>0</v>
      </c>
      <c r="I120" s="21">
        <f>SUM(J120:L120)</f>
        <v>0</v>
      </c>
      <c r="J120" s="21">
        <f>SUM(L120:L120)</f>
        <v>0</v>
      </c>
      <c r="K120" s="33">
        <f t="shared" si="7"/>
        <v>0</v>
      </c>
      <c r="L120" s="19"/>
      <c r="M120" s="154"/>
    </row>
    <row r="121" spans="1:13" x14ac:dyDescent="0.25">
      <c r="A121" s="51">
        <v>4537</v>
      </c>
      <c r="B121" s="70" t="s">
        <v>454</v>
      </c>
      <c r="C121" s="54"/>
      <c r="D121" s="21">
        <f>SUM(E121:F121)</f>
        <v>0</v>
      </c>
      <c r="E121" s="21"/>
      <c r="F121" s="21" t="s">
        <v>1</v>
      </c>
      <c r="G121" s="21">
        <f t="shared" si="8"/>
        <v>0</v>
      </c>
      <c r="H121" s="21">
        <f t="shared" si="8"/>
        <v>0</v>
      </c>
      <c r="I121" s="21">
        <f>SUM(J121:L121)</f>
        <v>0</v>
      </c>
      <c r="J121" s="21">
        <f>SUM(L121:L121)</f>
        <v>0</v>
      </c>
      <c r="K121" s="33">
        <f t="shared" si="7"/>
        <v>0</v>
      </c>
      <c r="L121" s="19"/>
      <c r="M121" s="154"/>
    </row>
    <row r="122" spans="1:13" x14ac:dyDescent="0.25">
      <c r="A122" s="51">
        <v>4538</v>
      </c>
      <c r="B122" s="70" t="s">
        <v>455</v>
      </c>
      <c r="C122" s="54"/>
      <c r="D122" s="21">
        <f>SUM(E122:F122)</f>
        <v>0</v>
      </c>
      <c r="E122" s="21"/>
      <c r="F122" s="21" t="s">
        <v>1</v>
      </c>
      <c r="G122" s="21">
        <f t="shared" si="8"/>
        <v>0</v>
      </c>
      <c r="H122" s="21">
        <f t="shared" si="8"/>
        <v>0</v>
      </c>
      <c r="I122" s="21">
        <f>SUM(J122:L122)</f>
        <v>0</v>
      </c>
      <c r="J122" s="21">
        <f>SUM(L122:L122)</f>
        <v>0</v>
      </c>
      <c r="K122" s="33">
        <f t="shared" si="7"/>
        <v>0</v>
      </c>
      <c r="L122" s="19"/>
      <c r="M122" s="154"/>
    </row>
    <row r="123" spans="1:13" ht="27" x14ac:dyDescent="0.25">
      <c r="A123" s="51">
        <v>4540</v>
      </c>
      <c r="B123" s="9" t="s">
        <v>456</v>
      </c>
      <c r="C123" s="54" t="s">
        <v>19</v>
      </c>
      <c r="D123" s="21">
        <f>SUM(D125:D127)</f>
        <v>0</v>
      </c>
      <c r="E123" s="204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  <c r="K123" s="33">
        <f t="shared" si="7"/>
        <v>0</v>
      </c>
      <c r="L123" s="19"/>
      <c r="M123" s="154"/>
    </row>
    <row r="124" spans="1:13" x14ac:dyDescent="0.25">
      <c r="A124" s="51"/>
      <c r="B124" s="11" t="s">
        <v>156</v>
      </c>
      <c r="C124" s="54"/>
      <c r="D124" s="21"/>
      <c r="E124" s="21"/>
      <c r="F124" s="21"/>
      <c r="G124" s="21"/>
      <c r="H124" s="21"/>
      <c r="I124" s="21"/>
      <c r="J124" s="21"/>
      <c r="K124" s="33">
        <f t="shared" si="7"/>
        <v>0</v>
      </c>
      <c r="L124" s="19"/>
      <c r="M124" s="154"/>
    </row>
    <row r="125" spans="1:13" ht="27" x14ac:dyDescent="0.25">
      <c r="A125" s="51">
        <v>4541</v>
      </c>
      <c r="B125" s="70" t="s">
        <v>457</v>
      </c>
      <c r="C125" s="54" t="s">
        <v>70</v>
      </c>
      <c r="D125" s="21"/>
      <c r="E125" s="225"/>
      <c r="F125" s="21" t="s">
        <v>1</v>
      </c>
      <c r="G125" s="21"/>
      <c r="H125" s="21"/>
      <c r="I125" s="21"/>
      <c r="J125" s="21"/>
      <c r="K125" s="33">
        <f t="shared" si="7"/>
        <v>0</v>
      </c>
      <c r="L125" s="19"/>
      <c r="M125" s="154"/>
    </row>
    <row r="126" spans="1:13" ht="27" x14ac:dyDescent="0.25">
      <c r="A126" s="51">
        <v>4542</v>
      </c>
      <c r="B126" s="70" t="s">
        <v>458</v>
      </c>
      <c r="C126" s="54" t="s">
        <v>71</v>
      </c>
      <c r="D126" s="21"/>
      <c r="E126" s="225"/>
      <c r="F126" s="21" t="s">
        <v>1</v>
      </c>
      <c r="G126" s="21"/>
      <c r="H126" s="21"/>
      <c r="I126" s="21"/>
      <c r="J126" s="21"/>
      <c r="K126" s="33">
        <f t="shared" si="7"/>
        <v>0</v>
      </c>
      <c r="L126" s="19"/>
      <c r="M126" s="154"/>
    </row>
    <row r="127" spans="1:13" ht="27" x14ac:dyDescent="0.25">
      <c r="A127" s="51">
        <v>4543</v>
      </c>
      <c r="B127" s="70" t="s">
        <v>459</v>
      </c>
      <c r="C127" s="54" t="s">
        <v>72</v>
      </c>
      <c r="D127" s="21"/>
      <c r="E127" s="204"/>
      <c r="F127" s="21" t="s">
        <v>1</v>
      </c>
      <c r="G127" s="21"/>
      <c r="H127" s="21"/>
      <c r="I127" s="21"/>
      <c r="J127" s="21"/>
      <c r="K127" s="33">
        <f t="shared" si="7"/>
        <v>0</v>
      </c>
      <c r="L127" s="19"/>
      <c r="M127" s="154"/>
    </row>
    <row r="128" spans="1:13" x14ac:dyDescent="0.25">
      <c r="A128" s="51"/>
      <c r="B128" s="70" t="s">
        <v>376</v>
      </c>
      <c r="C128" s="54"/>
      <c r="D128" s="21"/>
      <c r="E128" s="21"/>
      <c r="F128" s="21"/>
      <c r="G128" s="21"/>
      <c r="H128" s="21"/>
      <c r="I128" s="21"/>
      <c r="J128" s="21"/>
      <c r="K128" s="33">
        <f t="shared" si="7"/>
        <v>0</v>
      </c>
      <c r="L128" s="19"/>
      <c r="M128" s="154"/>
    </row>
    <row r="129" spans="1:13" ht="27" x14ac:dyDescent="0.25">
      <c r="A129" s="51">
        <v>4544</v>
      </c>
      <c r="B129" s="70" t="s">
        <v>460</v>
      </c>
      <c r="C129" s="54"/>
      <c r="D129" s="21">
        <f>SUM(D131:D131)</f>
        <v>0</v>
      </c>
      <c r="E129" s="204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  <c r="K129" s="33">
        <f t="shared" si="7"/>
        <v>0</v>
      </c>
      <c r="L129" s="19"/>
      <c r="M129" s="154"/>
    </row>
    <row r="130" spans="1:13" x14ac:dyDescent="0.25">
      <c r="A130" s="51"/>
      <c r="B130" s="70" t="s">
        <v>452</v>
      </c>
      <c r="C130" s="54"/>
      <c r="D130" s="21"/>
      <c r="E130" s="225"/>
      <c r="F130" s="21" t="s">
        <v>1</v>
      </c>
      <c r="G130" s="21"/>
      <c r="H130" s="21"/>
      <c r="I130" s="21"/>
      <c r="J130" s="21"/>
      <c r="K130" s="33">
        <f t="shared" si="7"/>
        <v>0</v>
      </c>
      <c r="L130" s="19"/>
      <c r="M130" s="154"/>
    </row>
    <row r="131" spans="1:13" x14ac:dyDescent="0.25">
      <c r="A131" s="51">
        <v>4546</v>
      </c>
      <c r="B131" s="70" t="s">
        <v>461</v>
      </c>
      <c r="C131" s="54"/>
      <c r="D131" s="21">
        <f>SUM(E131:F131)</f>
        <v>0</v>
      </c>
      <c r="E131" s="225"/>
      <c r="F131" s="21" t="s">
        <v>1</v>
      </c>
      <c r="G131" s="21"/>
      <c r="H131" s="21"/>
      <c r="I131" s="21"/>
      <c r="J131" s="21"/>
      <c r="K131" s="33">
        <f t="shared" si="7"/>
        <v>0</v>
      </c>
      <c r="L131" s="19"/>
      <c r="M131" s="154"/>
    </row>
    <row r="132" spans="1:13" x14ac:dyDescent="0.25">
      <c r="A132" s="51">
        <v>4547</v>
      </c>
      <c r="B132" s="70" t="s">
        <v>454</v>
      </c>
      <c r="C132" s="54"/>
      <c r="D132" s="21">
        <f>SUM(E132:F132)</f>
        <v>0</v>
      </c>
      <c r="E132" s="225"/>
      <c r="F132" s="21" t="s">
        <v>1</v>
      </c>
      <c r="G132" s="21"/>
      <c r="H132" s="21"/>
      <c r="I132" s="21"/>
      <c r="J132" s="21"/>
      <c r="K132" s="33">
        <f t="shared" si="7"/>
        <v>0</v>
      </c>
      <c r="L132" s="19"/>
      <c r="M132" s="154"/>
    </row>
    <row r="133" spans="1:13" x14ac:dyDescent="0.25">
      <c r="A133" s="51">
        <v>4548</v>
      </c>
      <c r="B133" s="70" t="s">
        <v>455</v>
      </c>
      <c r="C133" s="54"/>
      <c r="D133" s="21">
        <f>SUM(E133:F133)</f>
        <v>0</v>
      </c>
      <c r="E133" s="225"/>
      <c r="F133" s="21" t="s">
        <v>1</v>
      </c>
      <c r="G133" s="21"/>
      <c r="H133" s="21"/>
      <c r="I133" s="21"/>
      <c r="J133" s="21"/>
      <c r="K133" s="33">
        <f t="shared" si="7"/>
        <v>0</v>
      </c>
      <c r="L133" s="19"/>
      <c r="M133" s="154"/>
    </row>
    <row r="134" spans="1:13" ht="27" x14ac:dyDescent="0.25">
      <c r="A134" s="51">
        <v>4600</v>
      </c>
      <c r="B134" s="9" t="s">
        <v>462</v>
      </c>
      <c r="C134" s="54" t="s">
        <v>19</v>
      </c>
      <c r="D134" s="21">
        <f>SUM(D136,D140,D146)</f>
        <v>120065</v>
      </c>
      <c r="E134" s="21">
        <f>SUM(E136,E140,E146)</f>
        <v>120065</v>
      </c>
      <c r="F134" s="21" t="s">
        <v>0</v>
      </c>
      <c r="G134" s="21">
        <f>SUM(G136,G140,G146)</f>
        <v>28678.992094861991</v>
      </c>
      <c r="H134" s="21">
        <f>SUM(H136,H140,H146)</f>
        <v>60749.58498023732</v>
      </c>
      <c r="I134" s="21">
        <f>SUM(I136,I140,I146)</f>
        <v>87498.201581028159</v>
      </c>
      <c r="J134" s="21">
        <f>SUM(J136,J140,J146)</f>
        <v>120065</v>
      </c>
      <c r="K134" s="33">
        <f t="shared" si="7"/>
        <v>0</v>
      </c>
      <c r="L134" s="19"/>
      <c r="M134" s="154"/>
    </row>
    <row r="135" spans="1:13" x14ac:dyDescent="0.25">
      <c r="A135" s="51"/>
      <c r="B135" s="11" t="s">
        <v>376</v>
      </c>
      <c r="C135" s="52"/>
      <c r="D135" s="21"/>
      <c r="E135" s="21"/>
      <c r="F135" s="21"/>
      <c r="G135" s="21"/>
      <c r="H135" s="21"/>
      <c r="I135" s="21"/>
      <c r="J135" s="21"/>
      <c r="K135" s="33">
        <f t="shared" si="7"/>
        <v>0</v>
      </c>
      <c r="L135" s="19"/>
      <c r="M135" s="154"/>
    </row>
    <row r="136" spans="1:13" x14ac:dyDescent="0.25">
      <c r="A136" s="51">
        <v>4610</v>
      </c>
      <c r="B136" s="11" t="s">
        <v>463</v>
      </c>
      <c r="C136" s="52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  <c r="K136" s="33">
        <f t="shared" si="7"/>
        <v>0</v>
      </c>
      <c r="L136" s="19"/>
      <c r="M136" s="154"/>
    </row>
    <row r="137" spans="1:13" x14ac:dyDescent="0.25">
      <c r="A137" s="51"/>
      <c r="B137" s="11" t="s">
        <v>376</v>
      </c>
      <c r="C137" s="52"/>
      <c r="D137" s="21"/>
      <c r="E137" s="21"/>
      <c r="F137" s="21"/>
      <c r="G137" s="21"/>
      <c r="H137" s="21"/>
      <c r="I137" s="21"/>
      <c r="J137" s="21"/>
      <c r="K137" s="33">
        <f t="shared" si="7"/>
        <v>0</v>
      </c>
      <c r="L137" s="19"/>
      <c r="M137" s="154"/>
    </row>
    <row r="138" spans="1:13" ht="36" customHeight="1" x14ac:dyDescent="0.25">
      <c r="A138" s="51">
        <v>4610</v>
      </c>
      <c r="B138" s="14" t="s">
        <v>464</v>
      </c>
      <c r="C138" s="52" t="s">
        <v>73</v>
      </c>
      <c r="D138" s="21"/>
      <c r="E138" s="21"/>
      <c r="F138" s="21" t="s">
        <v>1</v>
      </c>
      <c r="G138" s="21"/>
      <c r="H138" s="21"/>
      <c r="I138" s="21"/>
      <c r="J138" s="21"/>
      <c r="K138" s="33">
        <f t="shared" si="7"/>
        <v>0</v>
      </c>
      <c r="L138" s="19"/>
      <c r="M138" s="154"/>
    </row>
    <row r="139" spans="1:13" ht="33.75" customHeight="1" x14ac:dyDescent="0.25">
      <c r="A139" s="51">
        <v>4620</v>
      </c>
      <c r="B139" s="14" t="s">
        <v>465</v>
      </c>
      <c r="C139" s="52" t="s">
        <v>74</v>
      </c>
      <c r="D139" s="21"/>
      <c r="E139" s="21"/>
      <c r="F139" s="21" t="s">
        <v>1</v>
      </c>
      <c r="G139" s="21"/>
      <c r="H139" s="21"/>
      <c r="I139" s="21"/>
      <c r="J139" s="21"/>
      <c r="K139" s="33">
        <f t="shared" si="7"/>
        <v>0</v>
      </c>
      <c r="L139" s="19"/>
      <c r="M139" s="154"/>
    </row>
    <row r="140" spans="1:13" ht="46.5" customHeight="1" x14ac:dyDescent="0.25">
      <c r="A140" s="51">
        <v>4630</v>
      </c>
      <c r="B140" s="9" t="s">
        <v>466</v>
      </c>
      <c r="C140" s="54" t="s">
        <v>19</v>
      </c>
      <c r="D140" s="21">
        <f>SUM(D142:D145)</f>
        <v>120065</v>
      </c>
      <c r="E140" s="21">
        <f>SUM(E142:E145)</f>
        <v>120065</v>
      </c>
      <c r="F140" s="21" t="s">
        <v>1</v>
      </c>
      <c r="G140" s="21">
        <f>SUM(G142:G145)</f>
        <v>28678.992094861991</v>
      </c>
      <c r="H140" s="21">
        <f>SUM(H142:H145)</f>
        <v>60749.58498023732</v>
      </c>
      <c r="I140" s="21">
        <f>SUM(I142:I145)</f>
        <v>87498.201581028159</v>
      </c>
      <c r="J140" s="21">
        <f>SUM(J142:J145)</f>
        <v>120065</v>
      </c>
      <c r="K140" s="33">
        <f t="shared" si="7"/>
        <v>0</v>
      </c>
      <c r="L140" s="19"/>
      <c r="M140" s="154"/>
    </row>
    <row r="141" spans="1:13" x14ac:dyDescent="0.25">
      <c r="A141" s="51"/>
      <c r="B141" s="11" t="s">
        <v>156</v>
      </c>
      <c r="C141" s="54"/>
      <c r="D141" s="21"/>
      <c r="E141" s="21"/>
      <c r="F141" s="21"/>
      <c r="G141" s="21"/>
      <c r="H141" s="21"/>
      <c r="I141" s="21"/>
      <c r="J141" s="21"/>
      <c r="K141" s="33">
        <f t="shared" si="7"/>
        <v>0</v>
      </c>
      <c r="L141" s="19"/>
      <c r="M141" s="154"/>
    </row>
    <row r="142" spans="1:13" x14ac:dyDescent="0.25">
      <c r="A142" s="51">
        <v>4631</v>
      </c>
      <c r="B142" s="9" t="s">
        <v>467</v>
      </c>
      <c r="C142" s="54" t="s">
        <v>75</v>
      </c>
      <c r="D142" s="21"/>
      <c r="E142" s="21"/>
      <c r="F142" s="21" t="s">
        <v>1</v>
      </c>
      <c r="G142" s="21"/>
      <c r="H142" s="21"/>
      <c r="I142" s="21"/>
      <c r="J142" s="21"/>
      <c r="K142" s="33">
        <f t="shared" si="7"/>
        <v>0</v>
      </c>
      <c r="L142" s="19"/>
      <c r="M142" s="154"/>
    </row>
    <row r="143" spans="1:13" ht="27" x14ac:dyDescent="0.25">
      <c r="A143" s="51">
        <v>4632</v>
      </c>
      <c r="B143" s="9" t="s">
        <v>468</v>
      </c>
      <c r="C143" s="54" t="s">
        <v>76</v>
      </c>
      <c r="D143" s="21">
        <f>+'4.Gorcarakan ev tntesagitakan'!G553+'4.Gorcarakan ev tntesagitakan'!G573+'4.Gorcarakan ev tntesagitakan'!G636</f>
        <v>12500</v>
      </c>
      <c r="E143" s="21">
        <f>+'4.Gorcarakan ev tntesagitakan'!H553+'4.Gorcarakan ev tntesagitakan'!H573+'4.Gorcarakan ev tntesagitakan'!H636</f>
        <v>12500</v>
      </c>
      <c r="F143" s="21" t="s">
        <v>1</v>
      </c>
      <c r="G143" s="21">
        <f>+'4.Gorcarakan ev tntesagitakan'!J553+'4.Gorcarakan ev tntesagitakan'!J573+'4.Gorcarakan ev tntesagitakan'!J636</f>
        <v>3063.2411067193675</v>
      </c>
      <c r="H143" s="21">
        <f>+'4.Gorcarakan ev tntesagitakan'!K553+'4.Gorcarakan ev tntesagitakan'!K573+'4.Gorcarakan ev tntesagitakan'!K636</f>
        <v>8500</v>
      </c>
      <c r="I143" s="21">
        <f>+'4.Gorcarakan ev tntesagitakan'!L553+'4.Gorcarakan ev tntesagitakan'!L573+'4.Gorcarakan ev tntesagitakan'!L636</f>
        <v>10444.664031620552</v>
      </c>
      <c r="J143" s="21">
        <f>+'4.Gorcarakan ev tntesagitakan'!M553+'4.Gorcarakan ev tntesagitakan'!M573+'4.Gorcarakan ev tntesagitakan'!M636</f>
        <v>12500</v>
      </c>
      <c r="K143" s="33">
        <f t="shared" si="7"/>
        <v>0</v>
      </c>
      <c r="L143" s="19"/>
      <c r="M143" s="154"/>
    </row>
    <row r="144" spans="1:13" x14ac:dyDescent="0.25">
      <c r="A144" s="51">
        <v>4633</v>
      </c>
      <c r="B144" s="9" t="s">
        <v>469</v>
      </c>
      <c r="C144" s="54" t="s">
        <v>77</v>
      </c>
      <c r="D144" s="21">
        <f>+'4.Gorcarakan ev tntesagitakan'!G741</f>
        <v>1260</v>
      </c>
      <c r="E144" s="21">
        <f>+'4.Gorcarakan ev tntesagitakan'!H741</f>
        <v>1260</v>
      </c>
      <c r="F144" s="21" t="s">
        <v>1</v>
      </c>
      <c r="G144" s="21">
        <f>+'4.Gorcarakan ev tntesagitakan'!J741</f>
        <v>308.77470355731225</v>
      </c>
      <c r="H144" s="21">
        <f>+'4.Gorcarakan ev tntesagitakan'!K741</f>
        <v>612.56916996047426</v>
      </c>
      <c r="I144" s="21">
        <f>+'4.Gorcarakan ev tntesagitakan'!L741</f>
        <v>936.28458498023713</v>
      </c>
      <c r="J144" s="21">
        <f>+'4.Gorcarakan ev tntesagitakan'!M741</f>
        <v>1260</v>
      </c>
      <c r="K144" s="33">
        <f t="shared" si="7"/>
        <v>0</v>
      </c>
      <c r="L144" s="19"/>
      <c r="M144" s="154"/>
    </row>
    <row r="145" spans="1:13" x14ac:dyDescent="0.25">
      <c r="A145" s="51">
        <v>4634</v>
      </c>
      <c r="B145" s="9" t="s">
        <v>470</v>
      </c>
      <c r="C145" s="54" t="s">
        <v>141</v>
      </c>
      <c r="D145" s="21">
        <f>+'4.Gorcarakan ev tntesagitakan'!G549+'4.Gorcarakan ev tntesagitakan'!G637+'4.Gorcarakan ev tntesagitakan'!G730+'4.Gorcarakan ev tntesagitakan'!G750</f>
        <v>106305</v>
      </c>
      <c r="E145" s="21">
        <f>+'4.Gorcarakan ev tntesagitakan'!H549+'4.Gorcarakan ev tntesagitakan'!H730+'4.Gorcarakan ev tntesagitakan'!H750</f>
        <v>106305</v>
      </c>
      <c r="F145" s="21" t="s">
        <v>1</v>
      </c>
      <c r="G145" s="21">
        <f>+'4.Gorcarakan ev tntesagitakan'!J549+'4.Gorcarakan ev tntesagitakan'!J637+'4.Gorcarakan ev tntesagitakan'!J730+'4.Gorcarakan ev tntesagitakan'!J750</f>
        <v>25306.976284585311</v>
      </c>
      <c r="H145" s="21">
        <f>+'4.Gorcarakan ev tntesagitakan'!K549+'4.Gorcarakan ev tntesagitakan'!K637+'4.Gorcarakan ev tntesagitakan'!K730+'4.Gorcarakan ev tntesagitakan'!K750</f>
        <v>51637.015810276847</v>
      </c>
      <c r="I145" s="21">
        <f>+'4.Gorcarakan ev tntesagitakan'!L549+'4.Gorcarakan ev tntesagitakan'!L637+'4.Gorcarakan ev tntesagitakan'!L730+'4.Gorcarakan ev tntesagitakan'!L750</f>
        <v>76117.252964427375</v>
      </c>
      <c r="J145" s="21">
        <f>+'4.Gorcarakan ev tntesagitakan'!M549+'4.Gorcarakan ev tntesagitakan'!M637+'4.Gorcarakan ev tntesagitakan'!M730+'4.Gorcarakan ev tntesagitakan'!M750</f>
        <v>106305</v>
      </c>
      <c r="K145" s="33">
        <f t="shared" si="7"/>
        <v>0</v>
      </c>
      <c r="L145" s="19"/>
      <c r="M145" s="154"/>
    </row>
    <row r="146" spans="1:13" x14ac:dyDescent="0.25">
      <c r="A146" s="51">
        <v>4640</v>
      </c>
      <c r="B146" s="9" t="s">
        <v>471</v>
      </c>
      <c r="C146" s="54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  <c r="K146" s="33">
        <f t="shared" si="7"/>
        <v>0</v>
      </c>
      <c r="L146" s="19"/>
      <c r="M146" s="154"/>
    </row>
    <row r="147" spans="1:13" x14ac:dyDescent="0.25">
      <c r="A147" s="51"/>
      <c r="B147" s="11" t="s">
        <v>156</v>
      </c>
      <c r="C147" s="54"/>
      <c r="D147" s="21"/>
      <c r="E147" s="21"/>
      <c r="F147" s="21"/>
      <c r="G147" s="21"/>
      <c r="H147" s="21"/>
      <c r="I147" s="21"/>
      <c r="J147" s="21"/>
      <c r="K147" s="33">
        <f t="shared" si="7"/>
        <v>0</v>
      </c>
      <c r="L147" s="19"/>
      <c r="M147" s="154"/>
    </row>
    <row r="148" spans="1:13" x14ac:dyDescent="0.25">
      <c r="A148" s="51">
        <v>4641</v>
      </c>
      <c r="B148" s="9" t="s">
        <v>472</v>
      </c>
      <c r="C148" s="54" t="s">
        <v>78</v>
      </c>
      <c r="D148" s="21"/>
      <c r="E148" s="21"/>
      <c r="F148" s="21" t="s">
        <v>0</v>
      </c>
      <c r="G148" s="21">
        <f>+D148/4</f>
        <v>0</v>
      </c>
      <c r="H148" s="21">
        <f>+D148/4*2</f>
        <v>0</v>
      </c>
      <c r="I148" s="21">
        <f>+D148/4*3</f>
        <v>0</v>
      </c>
      <c r="J148" s="21">
        <f>+D148</f>
        <v>0</v>
      </c>
      <c r="K148" s="33">
        <f t="shared" ref="K148:K211" si="9">+D148-J148</f>
        <v>0</v>
      </c>
      <c r="L148" s="19"/>
      <c r="M148" s="154"/>
    </row>
    <row r="149" spans="1:13" ht="40.5" x14ac:dyDescent="0.25">
      <c r="A149" s="51">
        <v>4700</v>
      </c>
      <c r="B149" s="9" t="s">
        <v>473</v>
      </c>
      <c r="C149" s="54" t="s">
        <v>19</v>
      </c>
      <c r="D149" s="21">
        <f>SUM(D151,D155,D161,D164,D168,D171,D174)</f>
        <v>251227.48599999998</v>
      </c>
      <c r="E149" s="21">
        <f>SUM(E151,E155,E161,E164,E168,E171,E174)</f>
        <v>1013479.6599999999</v>
      </c>
      <c r="F149" s="21">
        <f>SUM(F151,F155,F161,F164,F168,F171,F174)</f>
        <v>762252.174</v>
      </c>
      <c r="G149" s="21">
        <f>SUM(G151,G155,G161,G164,G168,G171,)</f>
        <v>89565.53470750984</v>
      </c>
      <c r="H149" s="21">
        <f>SUM(H151,H155,H161,H164,H168,H171,)</f>
        <v>145996.33141501981</v>
      </c>
      <c r="I149" s="21">
        <f>SUM(I151,I155,I161,I164,I168,I171,)</f>
        <v>205230.28815415018</v>
      </c>
      <c r="J149" s="21">
        <f>SUM(J151,J155,J161,J164,J168,J171,)</f>
        <v>251227.48599999998</v>
      </c>
      <c r="K149" s="33">
        <f t="shared" si="9"/>
        <v>0</v>
      </c>
      <c r="L149" s="19"/>
      <c r="M149" s="154"/>
    </row>
    <row r="150" spans="1:13" x14ac:dyDescent="0.25">
      <c r="A150" s="51"/>
      <c r="B150" s="11" t="s">
        <v>376</v>
      </c>
      <c r="C150" s="52"/>
      <c r="D150" s="21"/>
      <c r="E150" s="21"/>
      <c r="F150" s="21"/>
      <c r="G150" s="21"/>
      <c r="H150" s="21"/>
      <c r="I150" s="21"/>
      <c r="J150" s="21"/>
      <c r="K150" s="33">
        <f t="shared" si="9"/>
        <v>0</v>
      </c>
      <c r="L150" s="19"/>
      <c r="M150" s="154"/>
    </row>
    <row r="151" spans="1:13" ht="40.5" x14ac:dyDescent="0.25">
      <c r="A151" s="51">
        <v>4710</v>
      </c>
      <c r="B151" s="9" t="s">
        <v>474</v>
      </c>
      <c r="C151" s="54" t="s">
        <v>19</v>
      </c>
      <c r="D151" s="21">
        <f>SUM(D153:D154)</f>
        <v>177175.15599999999</v>
      </c>
      <c r="E151" s="21">
        <f>SUM(E153:E154)</f>
        <v>177175.15599999999</v>
      </c>
      <c r="F151" s="21" t="s">
        <v>1</v>
      </c>
      <c r="G151" s="21">
        <f>SUM(G153:G154)</f>
        <v>61359.845023715337</v>
      </c>
      <c r="H151" s="21">
        <f>SUM(H153:H154)</f>
        <v>106772.0646561265</v>
      </c>
      <c r="I151" s="21">
        <f>SUM(I153:I154)</f>
        <v>149727.36526877471</v>
      </c>
      <c r="J151" s="21">
        <f>SUM(J153:J154)</f>
        <v>177175.15599999999</v>
      </c>
      <c r="K151" s="33">
        <f t="shared" si="9"/>
        <v>0</v>
      </c>
      <c r="L151" s="19"/>
      <c r="M151" s="154"/>
    </row>
    <row r="152" spans="1:13" x14ac:dyDescent="0.25">
      <c r="A152" s="51"/>
      <c r="B152" s="11" t="s">
        <v>156</v>
      </c>
      <c r="C152" s="54"/>
      <c r="D152" s="21"/>
      <c r="E152" s="21"/>
      <c r="F152" s="21"/>
      <c r="G152" s="21"/>
      <c r="H152" s="21"/>
      <c r="I152" s="21"/>
      <c r="J152" s="21"/>
      <c r="K152" s="33">
        <f t="shared" si="9"/>
        <v>0</v>
      </c>
      <c r="L152" s="19"/>
      <c r="M152" s="154"/>
    </row>
    <row r="153" spans="1:13" ht="40.5" x14ac:dyDescent="0.25">
      <c r="A153" s="51">
        <v>4711</v>
      </c>
      <c r="B153" s="9" t="s">
        <v>475</v>
      </c>
      <c r="C153" s="54" t="s">
        <v>79</v>
      </c>
      <c r="D153" s="21"/>
      <c r="E153" s="21"/>
      <c r="F153" s="21" t="s">
        <v>1</v>
      </c>
      <c r="G153" s="21">
        <f>+D153/4</f>
        <v>0</v>
      </c>
      <c r="H153" s="21">
        <f>+D153/4*2</f>
        <v>0</v>
      </c>
      <c r="I153" s="21">
        <f>+D153/4*3</f>
        <v>0</v>
      </c>
      <c r="J153" s="21">
        <f>+D153</f>
        <v>0</v>
      </c>
      <c r="K153" s="33">
        <f t="shared" si="9"/>
        <v>0</v>
      </c>
      <c r="L153" s="19"/>
      <c r="M153" s="154"/>
    </row>
    <row r="154" spans="1:13" ht="27" x14ac:dyDescent="0.25">
      <c r="A154" s="51">
        <v>4712</v>
      </c>
      <c r="B154" s="9" t="s">
        <v>476</v>
      </c>
      <c r="C154" s="54" t="s">
        <v>80</v>
      </c>
      <c r="D154" s="21">
        <f>+'4.Gorcarakan ev tntesagitakan'!G550+'4.Gorcarakan ev tntesagitakan'!G561+'4.Gorcarakan ev tntesagitakan'!G565+'4.Gorcarakan ev tntesagitakan'!G571+'4.Gorcarakan ev tntesagitakan'!G616+'4.Gorcarakan ev tntesagitakan'!G635+'4.Gorcarakan ev tntesagitakan'!G693+'4.Gorcarakan ev tntesagitakan'!G743+'4.Gorcarakan ev tntesagitakan'!G751</f>
        <v>177175.15599999999</v>
      </c>
      <c r="E154" s="21">
        <f>+'4.Gorcarakan ev tntesagitakan'!H550+'4.Gorcarakan ev tntesagitakan'!H561+'4.Gorcarakan ev tntesagitakan'!H565+'4.Gorcarakan ev tntesagitakan'!H571+'4.Gorcarakan ev tntesagitakan'!H616+'4.Gorcarakan ev tntesagitakan'!H635+'4.Gorcarakan ev tntesagitakan'!H693+'4.Gorcarakan ev tntesagitakan'!H743+'4.Gorcarakan ev tntesagitakan'!H751</f>
        <v>177175.15599999999</v>
      </c>
      <c r="F154" s="21" t="s">
        <v>1</v>
      </c>
      <c r="G154" s="21">
        <f>+'4.Gorcarakan ev tntesagitakan'!J550+'4.Gorcarakan ev tntesagitakan'!J561+'4.Gorcarakan ev tntesagitakan'!J565+'4.Gorcarakan ev tntesagitakan'!J571+'4.Gorcarakan ev tntesagitakan'!J616+'4.Gorcarakan ev tntesagitakan'!J635+'4.Gorcarakan ev tntesagitakan'!J693+'4.Gorcarakan ev tntesagitakan'!J743+'4.Gorcarakan ev tntesagitakan'!J751</f>
        <v>61359.845023715337</v>
      </c>
      <c r="H154" s="21">
        <f>+'4.Gorcarakan ev tntesagitakan'!K550+'4.Gorcarakan ev tntesagitakan'!K561+'4.Gorcarakan ev tntesagitakan'!K565+'4.Gorcarakan ev tntesagitakan'!K571+'4.Gorcarakan ev tntesagitakan'!K616+'4.Gorcarakan ev tntesagitakan'!K635+'4.Gorcarakan ev tntesagitakan'!K693+'4.Gorcarakan ev tntesagitakan'!K743+'4.Gorcarakan ev tntesagitakan'!K751</f>
        <v>106772.0646561265</v>
      </c>
      <c r="I154" s="21">
        <f>+'4.Gorcarakan ev tntesagitakan'!L550+'4.Gorcarakan ev tntesagitakan'!L561+'4.Gorcarakan ev tntesagitakan'!L565+'4.Gorcarakan ev tntesagitakan'!L571+'4.Gorcarakan ev tntesagitakan'!L616+'4.Gorcarakan ev tntesagitakan'!L635+'4.Gorcarakan ev tntesagitakan'!L693+'4.Gorcarakan ev tntesagitakan'!L743+'4.Gorcarakan ev tntesagitakan'!L751</f>
        <v>149727.36526877471</v>
      </c>
      <c r="J154" s="21">
        <f>+'4.Gorcarakan ev tntesagitakan'!M550+'4.Gorcarakan ev tntesagitakan'!M561+'4.Gorcarakan ev tntesagitakan'!M565+'4.Gorcarakan ev tntesagitakan'!M571+'4.Gorcarakan ev tntesagitakan'!M616+'4.Gorcarakan ev tntesagitakan'!M635+'4.Gorcarakan ev tntesagitakan'!M693+'4.Gorcarakan ev tntesagitakan'!M743+'4.Gorcarakan ev tntesagitakan'!M751</f>
        <v>177175.15599999999</v>
      </c>
      <c r="K154" s="33">
        <f t="shared" si="9"/>
        <v>0</v>
      </c>
      <c r="L154" s="19"/>
      <c r="M154" s="154"/>
    </row>
    <row r="155" spans="1:13" ht="61.5" customHeight="1" x14ac:dyDescent="0.25">
      <c r="A155" s="51">
        <v>4720</v>
      </c>
      <c r="B155" s="9" t="s">
        <v>477</v>
      </c>
      <c r="C155" s="54" t="s">
        <v>19</v>
      </c>
      <c r="D155" s="21">
        <f>SUM(D157:D160)</f>
        <v>35020</v>
      </c>
      <c r="E155" s="21">
        <f>SUM(E157:E160)</f>
        <v>35020</v>
      </c>
      <c r="F155" s="21" t="s">
        <v>1</v>
      </c>
      <c r="G155" s="21">
        <f>SUM(G157:G160)</f>
        <v>17483.636363636404</v>
      </c>
      <c r="H155" s="21">
        <f>SUM(H157:H160)</f>
        <v>19460.711462450636</v>
      </c>
      <c r="I155" s="21">
        <f>SUM(I157:I160)</f>
        <v>26104.980237154148</v>
      </c>
      <c r="J155" s="21">
        <f>SUM(J157:J160)</f>
        <v>35020</v>
      </c>
      <c r="K155" s="33">
        <f t="shared" si="9"/>
        <v>0</v>
      </c>
      <c r="L155" s="19"/>
      <c r="M155" s="154"/>
    </row>
    <row r="156" spans="1:13" x14ac:dyDescent="0.25">
      <c r="A156" s="51"/>
      <c r="B156" s="11" t="s">
        <v>156</v>
      </c>
      <c r="C156" s="54"/>
      <c r="D156" s="21"/>
      <c r="E156" s="21"/>
      <c r="F156" s="21"/>
      <c r="G156" s="21"/>
      <c r="H156" s="21"/>
      <c r="I156" s="21"/>
      <c r="J156" s="21"/>
      <c r="K156" s="33">
        <f t="shared" si="9"/>
        <v>0</v>
      </c>
      <c r="L156" s="19"/>
      <c r="M156" s="154"/>
    </row>
    <row r="157" spans="1:13" x14ac:dyDescent="0.25">
      <c r="A157" s="51">
        <v>4721</v>
      </c>
      <c r="B157" s="9" t="s">
        <v>478</v>
      </c>
      <c r="C157" s="54" t="s">
        <v>81</v>
      </c>
      <c r="D157" s="21"/>
      <c r="E157" s="21"/>
      <c r="F157" s="21" t="s">
        <v>1</v>
      </c>
      <c r="G157" s="21"/>
      <c r="H157" s="21"/>
      <c r="I157" s="21"/>
      <c r="J157" s="21"/>
      <c r="K157" s="33">
        <f t="shared" si="9"/>
        <v>0</v>
      </c>
      <c r="L157" s="19"/>
      <c r="M157" s="154"/>
    </row>
    <row r="158" spans="1:13" x14ac:dyDescent="0.25">
      <c r="A158" s="51">
        <v>4722</v>
      </c>
      <c r="B158" s="9" t="s">
        <v>479</v>
      </c>
      <c r="C158" s="54" t="s">
        <v>82</v>
      </c>
      <c r="D158" s="21">
        <f>+'4.Gorcarakan ev tntesagitakan'!G41+'4.Gorcarakan ev tntesagitakan'!G106+'4.Gorcarakan ev tntesagitakan'!G364</f>
        <v>35020</v>
      </c>
      <c r="E158" s="21">
        <f>+'4.Gorcarakan ev tntesagitakan'!H41+'4.Gorcarakan ev tntesagitakan'!H106+'4.Gorcarakan ev tntesagitakan'!H364</f>
        <v>35020</v>
      </c>
      <c r="F158" s="21">
        <f>+'4.Gorcarakan ev tntesagitakan'!I106+'4.Gorcarakan ev tntesagitakan'!I41</f>
        <v>0</v>
      </c>
      <c r="G158" s="21">
        <f>+'4.Gorcarakan ev tntesagitakan'!J41+'4.Gorcarakan ev tntesagitakan'!J106+'4.Gorcarakan ev tntesagitakan'!J364</f>
        <v>17483.636363636404</v>
      </c>
      <c r="H158" s="21">
        <f>+'4.Gorcarakan ev tntesagitakan'!K41+'4.Gorcarakan ev tntesagitakan'!K106+'4.Gorcarakan ev tntesagitakan'!K364</f>
        <v>19460.711462450636</v>
      </c>
      <c r="I158" s="21">
        <f>+'4.Gorcarakan ev tntesagitakan'!L41+'4.Gorcarakan ev tntesagitakan'!L106+'4.Gorcarakan ev tntesagitakan'!L364</f>
        <v>26104.980237154148</v>
      </c>
      <c r="J158" s="21">
        <f>+'4.Gorcarakan ev tntesagitakan'!M41+'4.Gorcarakan ev tntesagitakan'!M106+'4.Gorcarakan ev tntesagitakan'!M364</f>
        <v>35020</v>
      </c>
      <c r="K158" s="33">
        <f t="shared" si="9"/>
        <v>0</v>
      </c>
      <c r="L158" s="19"/>
      <c r="M158" s="154"/>
    </row>
    <row r="159" spans="1:13" x14ac:dyDescent="0.25">
      <c r="A159" s="51">
        <v>4723</v>
      </c>
      <c r="B159" s="9" t="s">
        <v>480</v>
      </c>
      <c r="C159" s="6">
        <v>4822</v>
      </c>
      <c r="D159" s="21"/>
      <c r="E159" s="21"/>
      <c r="F159" s="21" t="s">
        <v>1</v>
      </c>
      <c r="G159" s="21"/>
      <c r="H159" s="21"/>
      <c r="I159" s="21"/>
      <c r="J159" s="21"/>
      <c r="K159" s="33">
        <f t="shared" si="9"/>
        <v>0</v>
      </c>
      <c r="L159" s="19"/>
      <c r="M159" s="154"/>
    </row>
    <row r="160" spans="1:13" ht="27" x14ac:dyDescent="0.25">
      <c r="A160" s="51">
        <v>4724</v>
      </c>
      <c r="B160" s="9" t="s">
        <v>481</v>
      </c>
      <c r="C160" s="54" t="s">
        <v>83</v>
      </c>
      <c r="D160" s="21"/>
      <c r="E160" s="21"/>
      <c r="F160" s="21" t="s">
        <v>1</v>
      </c>
      <c r="G160" s="21"/>
      <c r="H160" s="21"/>
      <c r="I160" s="21"/>
      <c r="J160" s="21"/>
      <c r="K160" s="33">
        <f t="shared" si="9"/>
        <v>0</v>
      </c>
      <c r="L160" s="19"/>
      <c r="M160" s="154"/>
    </row>
    <row r="161" spans="1:13" ht="27" x14ac:dyDescent="0.25">
      <c r="A161" s="51">
        <v>4730</v>
      </c>
      <c r="B161" s="9" t="s">
        <v>482</v>
      </c>
      <c r="C161" s="54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  <c r="K161" s="33">
        <f t="shared" si="9"/>
        <v>0</v>
      </c>
      <c r="L161" s="19"/>
      <c r="M161" s="154"/>
    </row>
    <row r="162" spans="1:13" x14ac:dyDescent="0.25">
      <c r="A162" s="51"/>
      <c r="B162" s="11" t="s">
        <v>156</v>
      </c>
      <c r="C162" s="54"/>
      <c r="D162" s="21"/>
      <c r="E162" s="21"/>
      <c r="F162" s="21"/>
      <c r="G162" s="21"/>
      <c r="H162" s="21"/>
      <c r="I162" s="21"/>
      <c r="J162" s="21"/>
      <c r="K162" s="33">
        <f t="shared" si="9"/>
        <v>0</v>
      </c>
      <c r="L162" s="19"/>
      <c r="M162" s="154"/>
    </row>
    <row r="163" spans="1:13" ht="27" x14ac:dyDescent="0.25">
      <c r="A163" s="51">
        <v>4731</v>
      </c>
      <c r="B163" s="9" t="s">
        <v>483</v>
      </c>
      <c r="C163" s="54" t="s">
        <v>84</v>
      </c>
      <c r="D163" s="21"/>
      <c r="E163" s="21"/>
      <c r="F163" s="21" t="s">
        <v>1</v>
      </c>
      <c r="G163" s="21"/>
      <c r="H163" s="21"/>
      <c r="I163" s="21"/>
      <c r="J163" s="21"/>
      <c r="K163" s="33">
        <f t="shared" si="9"/>
        <v>0</v>
      </c>
      <c r="L163" s="19"/>
      <c r="M163" s="154"/>
    </row>
    <row r="164" spans="1:13" ht="40.5" x14ac:dyDescent="0.25">
      <c r="A164" s="51">
        <v>4740</v>
      </c>
      <c r="B164" s="9" t="s">
        <v>484</v>
      </c>
      <c r="C164" s="54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  <c r="K164" s="33">
        <f t="shared" si="9"/>
        <v>0</v>
      </c>
      <c r="L164" s="19"/>
      <c r="M164" s="154"/>
    </row>
    <row r="165" spans="1:13" x14ac:dyDescent="0.25">
      <c r="A165" s="51"/>
      <c r="B165" s="11" t="s">
        <v>156</v>
      </c>
      <c r="C165" s="54"/>
      <c r="D165" s="21"/>
      <c r="E165" s="21"/>
      <c r="F165" s="21"/>
      <c r="G165" s="21"/>
      <c r="H165" s="21"/>
      <c r="I165" s="21"/>
      <c r="J165" s="21"/>
      <c r="K165" s="33">
        <f t="shared" si="9"/>
        <v>0</v>
      </c>
      <c r="L165" s="19"/>
      <c r="M165" s="154"/>
    </row>
    <row r="166" spans="1:13" ht="27" x14ac:dyDescent="0.25">
      <c r="A166" s="51">
        <v>4741</v>
      </c>
      <c r="B166" s="9" t="s">
        <v>485</v>
      </c>
      <c r="C166" s="54" t="s">
        <v>85</v>
      </c>
      <c r="D166" s="21"/>
      <c r="E166" s="21"/>
      <c r="F166" s="21" t="s">
        <v>1</v>
      </c>
      <c r="G166" s="21"/>
      <c r="H166" s="21"/>
      <c r="I166" s="21"/>
      <c r="J166" s="21"/>
      <c r="K166" s="33">
        <f t="shared" si="9"/>
        <v>0</v>
      </c>
      <c r="L166" s="19"/>
      <c r="M166" s="154"/>
    </row>
    <row r="167" spans="1:13" ht="27" x14ac:dyDescent="0.25">
      <c r="A167" s="51">
        <v>4742</v>
      </c>
      <c r="B167" s="9" t="s">
        <v>486</v>
      </c>
      <c r="C167" s="54" t="s">
        <v>86</v>
      </c>
      <c r="D167" s="21"/>
      <c r="E167" s="21"/>
      <c r="F167" s="21" t="s">
        <v>1</v>
      </c>
      <c r="G167" s="21"/>
      <c r="H167" s="21"/>
      <c r="I167" s="21"/>
      <c r="J167" s="21"/>
      <c r="K167" s="33">
        <f t="shared" si="9"/>
        <v>0</v>
      </c>
      <c r="L167" s="19"/>
      <c r="M167" s="154"/>
    </row>
    <row r="168" spans="1:13" ht="40.5" x14ac:dyDescent="0.25">
      <c r="A168" s="51">
        <v>4750</v>
      </c>
      <c r="B168" s="9" t="s">
        <v>487</v>
      </c>
      <c r="C168" s="54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  <c r="K168" s="33">
        <f t="shared" si="9"/>
        <v>0</v>
      </c>
      <c r="L168" s="19"/>
      <c r="M168" s="154"/>
    </row>
    <row r="169" spans="1:13" x14ac:dyDescent="0.25">
      <c r="A169" s="51"/>
      <c r="B169" s="11" t="s">
        <v>156</v>
      </c>
      <c r="C169" s="54"/>
      <c r="D169" s="21"/>
      <c r="E169" s="21"/>
      <c r="F169" s="21"/>
      <c r="G169" s="21"/>
      <c r="H169" s="21"/>
      <c r="I169" s="21"/>
      <c r="J169" s="21"/>
      <c r="K169" s="33">
        <f t="shared" si="9"/>
        <v>0</v>
      </c>
      <c r="L169" s="19"/>
      <c r="M169" s="154"/>
    </row>
    <row r="170" spans="1:13" ht="40.5" x14ac:dyDescent="0.25">
      <c r="A170" s="51">
        <v>4751</v>
      </c>
      <c r="B170" s="9" t="s">
        <v>488</v>
      </c>
      <c r="C170" s="54" t="s">
        <v>87</v>
      </c>
      <c r="D170" s="21">
        <f>SUM(E170:F170)</f>
        <v>0</v>
      </c>
      <c r="E170" s="21"/>
      <c r="F170" s="21" t="s">
        <v>1</v>
      </c>
      <c r="G170" s="21">
        <f>+D170/4</f>
        <v>0</v>
      </c>
      <c r="H170" s="21">
        <f>+D170/4*2</f>
        <v>0</v>
      </c>
      <c r="I170" s="21">
        <f>+D170/4*3</f>
        <v>0</v>
      </c>
      <c r="J170" s="21">
        <f>+D170</f>
        <v>0</v>
      </c>
      <c r="K170" s="33">
        <f t="shared" si="9"/>
        <v>0</v>
      </c>
      <c r="L170" s="19"/>
      <c r="M170" s="154"/>
    </row>
    <row r="171" spans="1:13" x14ac:dyDescent="0.25">
      <c r="A171" s="51">
        <v>4760</v>
      </c>
      <c r="B171" s="9" t="s">
        <v>489</v>
      </c>
      <c r="C171" s="54" t="s">
        <v>19</v>
      </c>
      <c r="D171" s="21">
        <f>SUM(D173)</f>
        <v>39032.33</v>
      </c>
      <c r="E171" s="21">
        <f>SUM(E173)</f>
        <v>39032.33</v>
      </c>
      <c r="F171" s="21" t="s">
        <v>1</v>
      </c>
      <c r="G171" s="21">
        <f>SUM(G173)</f>
        <v>10722.053320158102</v>
      </c>
      <c r="H171" s="21">
        <f>SUM(H173)</f>
        <v>19763.555296442686</v>
      </c>
      <c r="I171" s="21">
        <f>SUM(I173)</f>
        <v>29397.942648221346</v>
      </c>
      <c r="J171" s="21">
        <f>SUM(J173)</f>
        <v>39032.33</v>
      </c>
      <c r="K171" s="33">
        <f t="shared" si="9"/>
        <v>0</v>
      </c>
      <c r="L171" s="19"/>
      <c r="M171" s="154"/>
    </row>
    <row r="172" spans="1:13" x14ac:dyDescent="0.25">
      <c r="A172" s="51"/>
      <c r="B172" s="11" t="s">
        <v>156</v>
      </c>
      <c r="C172" s="54"/>
      <c r="D172" s="21"/>
      <c r="E172" s="21"/>
      <c r="F172" s="21"/>
      <c r="G172" s="21"/>
      <c r="H172" s="21"/>
      <c r="I172" s="21"/>
      <c r="J172" s="21"/>
      <c r="K172" s="33">
        <f t="shared" si="9"/>
        <v>0</v>
      </c>
      <c r="L172" s="19"/>
      <c r="M172" s="154"/>
    </row>
    <row r="173" spans="1:13" x14ac:dyDescent="0.25">
      <c r="A173" s="51">
        <v>4761</v>
      </c>
      <c r="B173" s="9" t="s">
        <v>490</v>
      </c>
      <c r="C173" s="54" t="s">
        <v>88</v>
      </c>
      <c r="D173" s="21">
        <f>+'4.Gorcarakan ev tntesagitakan'!G42+'4.Gorcarakan ev tntesagitakan'!G113+'4.Gorcarakan ev tntesagitakan'!G551+'4.Gorcarakan ev tntesagitakan'!G634</f>
        <v>39032.33</v>
      </c>
      <c r="E173" s="21">
        <f>+'4.Gorcarakan ev tntesagitakan'!H42+'4.Gorcarakan ev tntesagitakan'!H113+'4.Gorcarakan ev tntesagitakan'!H551+'4.Gorcarakan ev tntesagitakan'!H634</f>
        <v>39032.33</v>
      </c>
      <c r="F173" s="21" t="s">
        <v>1</v>
      </c>
      <c r="G173" s="21">
        <f>+'4.Gorcarakan ev tntesagitakan'!J42+'4.Gorcarakan ev tntesagitakan'!J113+'4.Gorcarakan ev tntesagitakan'!J551+'4.Gorcarakan ev tntesagitakan'!J634</f>
        <v>10722.053320158102</v>
      </c>
      <c r="H173" s="21">
        <f>+'4.Gorcarakan ev tntesagitakan'!K42+'4.Gorcarakan ev tntesagitakan'!K113+'4.Gorcarakan ev tntesagitakan'!K551+'4.Gorcarakan ev tntesagitakan'!K634</f>
        <v>19763.555296442686</v>
      </c>
      <c r="I173" s="21">
        <f>+'4.Gorcarakan ev tntesagitakan'!L42+'4.Gorcarakan ev tntesagitakan'!L113+'4.Gorcarakan ev tntesagitakan'!L551+'4.Gorcarakan ev tntesagitakan'!L634</f>
        <v>29397.942648221346</v>
      </c>
      <c r="J173" s="21">
        <f>+'4.Gorcarakan ev tntesagitakan'!M42+'4.Gorcarakan ev tntesagitakan'!M113+'4.Gorcarakan ev tntesagitakan'!M551+'4.Gorcarakan ev tntesagitakan'!M634</f>
        <v>39032.33</v>
      </c>
      <c r="K173" s="33">
        <f t="shared" ref="K173:K175" si="10">+E173-J173</f>
        <v>0</v>
      </c>
      <c r="L173" s="19"/>
      <c r="M173" s="154"/>
    </row>
    <row r="174" spans="1:13" x14ac:dyDescent="0.25">
      <c r="A174" s="51">
        <v>4770</v>
      </c>
      <c r="B174" s="9" t="s">
        <v>491</v>
      </c>
      <c r="C174" s="54" t="s">
        <v>19</v>
      </c>
      <c r="D174" s="21">
        <f t="shared" ref="D174:J174" si="11">SUM(D176)</f>
        <v>0</v>
      </c>
      <c r="E174" s="21">
        <f t="shared" si="11"/>
        <v>762252.174</v>
      </c>
      <c r="F174" s="21">
        <f t="shared" si="11"/>
        <v>762252.174</v>
      </c>
      <c r="G174" s="21">
        <f t="shared" si="11"/>
        <v>282033.30437999999</v>
      </c>
      <c r="H174" s="21">
        <f t="shared" si="11"/>
        <v>396371.13047999999</v>
      </c>
      <c r="I174" s="21">
        <f t="shared" si="11"/>
        <v>510708.95658</v>
      </c>
      <c r="J174" s="21">
        <f t="shared" si="11"/>
        <v>762252.174</v>
      </c>
      <c r="K174" s="33">
        <f t="shared" si="10"/>
        <v>0</v>
      </c>
      <c r="L174" s="19"/>
      <c r="M174" s="154"/>
    </row>
    <row r="175" spans="1:13" x14ac:dyDescent="0.25">
      <c r="A175" s="51"/>
      <c r="B175" s="11" t="s">
        <v>156</v>
      </c>
      <c r="C175" s="54"/>
      <c r="D175" s="21"/>
      <c r="E175" s="21"/>
      <c r="F175" s="21"/>
      <c r="G175" s="21"/>
      <c r="H175" s="21"/>
      <c r="I175" s="21"/>
      <c r="J175" s="21"/>
      <c r="K175" s="33">
        <f t="shared" si="10"/>
        <v>0</v>
      </c>
      <c r="L175" s="19"/>
      <c r="M175" s="154"/>
    </row>
    <row r="176" spans="1:13" x14ac:dyDescent="0.25">
      <c r="A176" s="51">
        <v>4771</v>
      </c>
      <c r="B176" s="9" t="s">
        <v>492</v>
      </c>
      <c r="C176" s="54" t="s">
        <v>89</v>
      </c>
      <c r="D176" s="21"/>
      <c r="E176" s="21">
        <f>+'4.Gorcarakan ev tntesagitakan'!H779</f>
        <v>762252.174</v>
      </c>
      <c r="F176" s="21">
        <f>+'4.Gorcarakan ev tntesagitakan'!I779</f>
        <v>762252.174</v>
      </c>
      <c r="G176" s="21">
        <f>+'4.Gorcarakan ev tntesagitakan'!J779</f>
        <v>282033.30437999999</v>
      </c>
      <c r="H176" s="21">
        <f>+'4.Gorcarakan ev tntesagitakan'!K779</f>
        <v>396371.13047999999</v>
      </c>
      <c r="I176" s="21">
        <f>+'4.Gorcarakan ev tntesagitakan'!L779</f>
        <v>510708.95658</v>
      </c>
      <c r="J176" s="21">
        <f>+'4.Gorcarakan ev tntesagitakan'!M779</f>
        <v>762252.174</v>
      </c>
      <c r="K176" s="33">
        <f>+E176-J176</f>
        <v>0</v>
      </c>
      <c r="L176" s="19"/>
      <c r="M176" s="154"/>
    </row>
    <row r="177" spans="1:13" ht="40.5" x14ac:dyDescent="0.25">
      <c r="A177" s="51">
        <v>4772</v>
      </c>
      <c r="B177" s="9" t="s">
        <v>493</v>
      </c>
      <c r="C177" s="54" t="s">
        <v>19</v>
      </c>
      <c r="D177" s="21">
        <f>SUM(E177:F177)</f>
        <v>0</v>
      </c>
      <c r="E177" s="21">
        <v>0</v>
      </c>
      <c r="F177" s="21" t="s">
        <v>0</v>
      </c>
      <c r="G177" s="21">
        <f>+D177/4</f>
        <v>0</v>
      </c>
      <c r="H177" s="21">
        <f>+D177/4*2</f>
        <v>0</v>
      </c>
      <c r="I177" s="21">
        <f>+D177/4*3</f>
        <v>0</v>
      </c>
      <c r="J177" s="21">
        <f>+D177</f>
        <v>0</v>
      </c>
      <c r="K177" s="33">
        <f t="shared" si="9"/>
        <v>0</v>
      </c>
      <c r="L177" s="19"/>
      <c r="M177" s="154"/>
    </row>
    <row r="178" spans="1:13" s="17" customFormat="1" ht="51.75" x14ac:dyDescent="0.25">
      <c r="A178" s="51">
        <v>5000</v>
      </c>
      <c r="B178" s="10" t="s">
        <v>494</v>
      </c>
      <c r="C178" s="54" t="s">
        <v>19</v>
      </c>
      <c r="D178" s="21">
        <f>SUM(D180,D198,D204,D207)</f>
        <v>3353268.8601000002</v>
      </c>
      <c r="E178" s="21" t="s">
        <v>641</v>
      </c>
      <c r="F178" s="21">
        <f>SUM(F180,F198,F204,F207)</f>
        <v>3353268.8601000002</v>
      </c>
      <c r="G178" s="21">
        <f>SUM(G180,G198,G204,G207)</f>
        <v>1436239.8086928842</v>
      </c>
      <c r="H178" s="21">
        <f>SUM(H180,H198,H204,H207)</f>
        <v>1917698.8308826026</v>
      </c>
      <c r="I178" s="21">
        <f>SUM(I180,I198,I204,I207)</f>
        <v>2838599.3292304319</v>
      </c>
      <c r="J178" s="21">
        <f>SUM(J180,J198,J204,J207)</f>
        <v>3353268.8601000002</v>
      </c>
      <c r="K178" s="33">
        <f t="shared" si="9"/>
        <v>0</v>
      </c>
      <c r="L178" s="19"/>
      <c r="M178" s="154"/>
    </row>
    <row r="179" spans="1:13" x14ac:dyDescent="0.25">
      <c r="A179" s="51"/>
      <c r="B179" s="11" t="s">
        <v>376</v>
      </c>
      <c r="C179" s="52"/>
      <c r="D179" s="21"/>
      <c r="E179" s="21"/>
      <c r="F179" s="21"/>
      <c r="G179" s="21"/>
      <c r="H179" s="21"/>
      <c r="I179" s="21"/>
      <c r="J179" s="21"/>
      <c r="K179" s="33">
        <f t="shared" si="9"/>
        <v>0</v>
      </c>
      <c r="L179" s="19"/>
      <c r="M179" s="154"/>
    </row>
    <row r="180" spans="1:13" ht="27" x14ac:dyDescent="0.25">
      <c r="A180" s="51">
        <v>5100</v>
      </c>
      <c r="B180" s="9" t="s">
        <v>495</v>
      </c>
      <c r="C180" s="54" t="s">
        <v>19</v>
      </c>
      <c r="D180" s="21">
        <f>SUM(D182,D187,D192)</f>
        <v>3353268.8601000002</v>
      </c>
      <c r="E180" s="21" t="s">
        <v>1</v>
      </c>
      <c r="F180" s="21">
        <f>SUM(F182,F187,F192)</f>
        <v>3353268.8601000002</v>
      </c>
      <c r="G180" s="21">
        <f>SUM(G182,G187,G192)</f>
        <v>1436239.8086928842</v>
      </c>
      <c r="H180" s="21">
        <f>SUM(H182,H187,H192)</f>
        <v>1917698.8308826026</v>
      </c>
      <c r="I180" s="21">
        <f>SUM(I182,I187,I192)</f>
        <v>2838599.3292304319</v>
      </c>
      <c r="J180" s="21">
        <f>SUM(J182,J187,J192)</f>
        <v>3353268.8601000002</v>
      </c>
      <c r="K180" s="33">
        <f t="shared" si="9"/>
        <v>0</v>
      </c>
      <c r="L180" s="19"/>
      <c r="M180" s="154"/>
    </row>
    <row r="181" spans="1:13" x14ac:dyDescent="0.25">
      <c r="A181" s="51"/>
      <c r="B181" s="11" t="s">
        <v>376</v>
      </c>
      <c r="C181" s="52"/>
      <c r="D181" s="21"/>
      <c r="E181" s="21"/>
      <c r="F181" s="21"/>
      <c r="G181" s="21"/>
      <c r="H181" s="21"/>
      <c r="I181" s="21"/>
      <c r="J181" s="21"/>
      <c r="K181" s="33">
        <f t="shared" si="9"/>
        <v>0</v>
      </c>
      <c r="L181" s="19"/>
      <c r="M181" s="154"/>
    </row>
    <row r="182" spans="1:13" ht="27" x14ac:dyDescent="0.25">
      <c r="A182" s="51">
        <v>5110</v>
      </c>
      <c r="B182" s="9" t="s">
        <v>496</v>
      </c>
      <c r="C182" s="54" t="s">
        <v>19</v>
      </c>
      <c r="D182" s="21">
        <f>SUM(D184:D186)</f>
        <v>2471598.0562399998</v>
      </c>
      <c r="E182" s="21" t="s">
        <v>0</v>
      </c>
      <c r="F182" s="21">
        <f>SUM(F184:F186)</f>
        <v>2471598.0562399998</v>
      </c>
      <c r="G182" s="21">
        <f>SUM(G184:G186)</f>
        <v>1148516.202687667</v>
      </c>
      <c r="H182" s="21">
        <f>SUM(H184:H186)</f>
        <v>1444717.1697174646</v>
      </c>
      <c r="I182" s="21">
        <f>SUM(I184:I186)</f>
        <v>2155974.074978732</v>
      </c>
      <c r="J182" s="21">
        <f>SUM(J184:J186)</f>
        <v>2471598.0562399998</v>
      </c>
      <c r="K182" s="33">
        <f t="shared" si="9"/>
        <v>0</v>
      </c>
      <c r="L182" s="19"/>
      <c r="M182" s="154"/>
    </row>
    <row r="183" spans="1:13" x14ac:dyDescent="0.25">
      <c r="A183" s="51"/>
      <c r="B183" s="11" t="s">
        <v>156</v>
      </c>
      <c r="C183" s="54"/>
      <c r="D183" s="21"/>
      <c r="E183" s="21"/>
      <c r="F183" s="21"/>
      <c r="G183" s="21"/>
      <c r="H183" s="21"/>
      <c r="I183" s="21"/>
      <c r="J183" s="21"/>
      <c r="K183" s="33">
        <f t="shared" si="9"/>
        <v>0</v>
      </c>
      <c r="L183" s="19"/>
      <c r="M183" s="154"/>
    </row>
    <row r="184" spans="1:13" x14ac:dyDescent="0.25">
      <c r="A184" s="51">
        <v>5111</v>
      </c>
      <c r="B184" s="9" t="s">
        <v>497</v>
      </c>
      <c r="C184" s="56" t="s">
        <v>90</v>
      </c>
      <c r="D184" s="21">
        <f>+'4.Gorcarakan ev tntesagitakan'!G43+'4.Gorcarakan ev tntesagitakan'!G742</f>
        <v>0</v>
      </c>
      <c r="E184" s="21" t="s">
        <v>0</v>
      </c>
      <c r="F184" s="21">
        <f>+'4.Gorcarakan ev tntesagitakan'!I43+'4.Gorcarakan ev tntesagitakan'!I742</f>
        <v>0</v>
      </c>
      <c r="G184" s="21"/>
      <c r="H184" s="21"/>
      <c r="I184" s="21"/>
      <c r="J184" s="21"/>
      <c r="K184" s="33">
        <f t="shared" si="9"/>
        <v>0</v>
      </c>
      <c r="L184" s="19"/>
      <c r="M184" s="154"/>
    </row>
    <row r="185" spans="1:13" x14ac:dyDescent="0.25">
      <c r="A185" s="51">
        <v>5112</v>
      </c>
      <c r="B185" s="9" t="s">
        <v>498</v>
      </c>
      <c r="C185" s="56" t="s">
        <v>91</v>
      </c>
      <c r="D185" s="21">
        <f>+'4.Gorcarakan ev tntesagitakan'!G438+'4.Gorcarakan ev tntesagitakan'!G461+'4.Gorcarakan ev tntesagitakan'!G593</f>
        <v>8800</v>
      </c>
      <c r="E185" s="21" t="s">
        <v>0</v>
      </c>
      <c r="F185" s="21">
        <f>+'4.Gorcarakan ev tntesagitakan'!I438+'4.Gorcarakan ev tntesagitakan'!I461+'4.Gorcarakan ev tntesagitakan'!I593</f>
        <v>8800</v>
      </c>
      <c r="G185" s="21">
        <f>+'4.Gorcarakan ev tntesagitakan'!J438+'4.Gorcarakan ev tntesagitakan'!J461+'4.Gorcarakan ev tntesagitakan'!J593</f>
        <v>2156.521739130435</v>
      </c>
      <c r="H185" s="21">
        <f>+'4.Gorcarakan ev tntesagitakan'!K438+'4.Gorcarakan ev tntesagitakan'!K461+'4.Gorcarakan ev tntesagitakan'!K593</f>
        <v>4278.260869565217</v>
      </c>
      <c r="I185" s="21">
        <f>+'4.Gorcarakan ev tntesagitakan'!L438+'4.Gorcarakan ev tntesagitakan'!L461+'4.Gorcarakan ev tntesagitakan'!L593</f>
        <v>6539.1304347826081</v>
      </c>
      <c r="J185" s="21">
        <f>+'4.Gorcarakan ev tntesagitakan'!M438+'4.Gorcarakan ev tntesagitakan'!M461+'4.Gorcarakan ev tntesagitakan'!M593</f>
        <v>8800</v>
      </c>
      <c r="K185" s="33">
        <f t="shared" si="9"/>
        <v>0</v>
      </c>
      <c r="L185" s="19"/>
      <c r="M185" s="154"/>
    </row>
    <row r="186" spans="1:13" x14ac:dyDescent="0.25">
      <c r="A186" s="51">
        <v>5113</v>
      </c>
      <c r="B186" s="9" t="s">
        <v>173</v>
      </c>
      <c r="C186" s="56" t="s">
        <v>92</v>
      </c>
      <c r="D186" s="21">
        <f>+'4.Gorcarakan ev tntesagitakan'!G44+'4.Gorcarakan ev tntesagitakan'!G286+'4.Gorcarakan ev tntesagitakan'!G406+'4.Gorcarakan ev tntesagitakan'!G460+'4.Gorcarakan ev tntesagitakan'!G594</f>
        <v>2462798.0562399998</v>
      </c>
      <c r="E186" s="21" t="s">
        <v>0</v>
      </c>
      <c r="F186" s="21">
        <f>+'4.Gorcarakan ev tntesagitakan'!I44+'4.Gorcarakan ev tntesagitakan'!I286+'4.Gorcarakan ev tntesagitakan'!I406+'4.Gorcarakan ev tntesagitakan'!I460+'4.Gorcarakan ev tntesagitakan'!I594</f>
        <v>2462798.0562399998</v>
      </c>
      <c r="G186" s="21">
        <f>+'4.Gorcarakan ev tntesagitakan'!J44+'4.Gorcarakan ev tntesagitakan'!J286+'4.Gorcarakan ev tntesagitakan'!J406+'4.Gorcarakan ev tntesagitakan'!J460+'4.Gorcarakan ev tntesagitakan'!J594</f>
        <v>1146359.6809485366</v>
      </c>
      <c r="H186" s="21">
        <f>+'4.Gorcarakan ev tntesagitakan'!K44+'4.Gorcarakan ev tntesagitakan'!K286+'4.Gorcarakan ev tntesagitakan'!K406+'4.Gorcarakan ev tntesagitakan'!K460+'4.Gorcarakan ev tntesagitakan'!K594</f>
        <v>1440438.9088478994</v>
      </c>
      <c r="I186" s="21">
        <f>+'4.Gorcarakan ev tntesagitakan'!L44+'4.Gorcarakan ev tntesagitakan'!L286+'4.Gorcarakan ev tntesagitakan'!L406+'4.Gorcarakan ev tntesagitakan'!L460+'4.Gorcarakan ev tntesagitakan'!L594</f>
        <v>2149434.9445439493</v>
      </c>
      <c r="J186" s="21">
        <f>+'4.Gorcarakan ev tntesagitakan'!M44+'4.Gorcarakan ev tntesagitakan'!M286+'4.Gorcarakan ev tntesagitakan'!M406+'4.Gorcarakan ev tntesagitakan'!M460+'4.Gorcarakan ev tntesagitakan'!M594</f>
        <v>2462798.0562399998</v>
      </c>
      <c r="K186" s="33">
        <f t="shared" si="9"/>
        <v>0</v>
      </c>
      <c r="L186" s="19"/>
      <c r="M186" s="154"/>
    </row>
    <row r="187" spans="1:13" ht="27" x14ac:dyDescent="0.25">
      <c r="A187" s="51">
        <v>5120</v>
      </c>
      <c r="B187" s="9" t="s">
        <v>499</v>
      </c>
      <c r="C187" s="54" t="s">
        <v>19</v>
      </c>
      <c r="D187" s="21">
        <f>SUM(D189:D191)</f>
        <v>708745.723</v>
      </c>
      <c r="E187" s="21" t="s">
        <v>0</v>
      </c>
      <c r="F187" s="21">
        <f>SUM(F189:F191)</f>
        <v>708745.723</v>
      </c>
      <c r="G187" s="21">
        <f>SUM(G189:G191)</f>
        <v>191719.2748063241</v>
      </c>
      <c r="H187" s="21">
        <f>SUM(H189:H191)</f>
        <v>356842.9048577075</v>
      </c>
      <c r="I187" s="21">
        <f>SUM(I189:I191)</f>
        <v>532794.31392885372</v>
      </c>
      <c r="J187" s="21">
        <f>SUM(J189:J191)</f>
        <v>708745.723</v>
      </c>
      <c r="K187" s="33">
        <f t="shared" si="9"/>
        <v>0</v>
      </c>
      <c r="L187" s="19"/>
      <c r="M187" s="154"/>
    </row>
    <row r="188" spans="1:13" x14ac:dyDescent="0.25">
      <c r="A188" s="51"/>
      <c r="B188" s="9" t="s">
        <v>156</v>
      </c>
      <c r="C188" s="54"/>
      <c r="D188" s="21"/>
      <c r="E188" s="21"/>
      <c r="F188" s="21"/>
      <c r="G188" s="21"/>
      <c r="H188" s="21"/>
      <c r="I188" s="21"/>
      <c r="J188" s="21"/>
      <c r="K188" s="33">
        <f t="shared" si="9"/>
        <v>0</v>
      </c>
      <c r="L188" s="19"/>
      <c r="M188" s="154"/>
    </row>
    <row r="189" spans="1:13" x14ac:dyDescent="0.25">
      <c r="A189" s="51">
        <v>5121</v>
      </c>
      <c r="B189" s="9" t="s">
        <v>500</v>
      </c>
      <c r="C189" s="56" t="s">
        <v>93</v>
      </c>
      <c r="D189" s="21">
        <f>+'4.Gorcarakan ev tntesagitakan'!G45+'4.Gorcarakan ev tntesagitakan'!G287</f>
        <v>454933.989</v>
      </c>
      <c r="E189" s="21" t="s">
        <v>1</v>
      </c>
      <c r="F189" s="21">
        <f>+'4.Gorcarakan ev tntesagitakan'!I45+'4.Gorcarakan ev tntesagitakan'!I287</f>
        <v>454933.989</v>
      </c>
      <c r="G189" s="21">
        <f>+'4.Gorcarakan ev tntesagitakan'!J45+'4.Gorcarakan ev tntesagitakan'!J287</f>
        <v>111485.79967588933</v>
      </c>
      <c r="H189" s="21">
        <f>+'4.Gorcarakan ev tntesagitakan'!K45+'4.Gorcarakan ev tntesagitakan'!K287</f>
        <v>221173.44129249011</v>
      </c>
      <c r="I189" s="21">
        <f>+'4.Gorcarakan ev tntesagitakan'!L45+'4.Gorcarakan ev tntesagitakan'!L287</f>
        <v>338053.71514624503</v>
      </c>
      <c r="J189" s="21">
        <f>+'4.Gorcarakan ev tntesagitakan'!M45+'4.Gorcarakan ev tntesagitakan'!M287</f>
        <v>454933.989</v>
      </c>
      <c r="K189" s="33">
        <f t="shared" si="9"/>
        <v>0</v>
      </c>
      <c r="L189" s="19"/>
      <c r="M189" s="154"/>
    </row>
    <row r="190" spans="1:13" x14ac:dyDescent="0.25">
      <c r="A190" s="51">
        <v>5122</v>
      </c>
      <c r="B190" s="9" t="s">
        <v>501</v>
      </c>
      <c r="C190" s="56" t="s">
        <v>94</v>
      </c>
      <c r="D190" s="21">
        <f>+'4.Gorcarakan ev tntesagitakan'!G46+'4.Gorcarakan ev tntesagitakan'!G371+'4.Gorcarakan ev tntesagitakan'!G462+'4.Gorcarakan ev tntesagitakan'!G562</f>
        <v>16232.7</v>
      </c>
      <c r="E190" s="21"/>
      <c r="F190" s="21">
        <f>+'4.Gorcarakan ev tntesagitakan'!I46+'4.Gorcarakan ev tntesagitakan'!I371+'4.Gorcarakan ev tntesagitakan'!I462+'4.Gorcarakan ev tntesagitakan'!I562</f>
        <v>16232.7</v>
      </c>
      <c r="G190" s="21">
        <f>+'4.Gorcarakan ev tntesagitakan'!J46+'4.Gorcarakan ev tntesagitakan'!J371+'4.Gorcarakan ev tntesagitakan'!J462+'4.Gorcarakan ev tntesagitakan'!J562</f>
        <v>4153.6486166007908</v>
      </c>
      <c r="H190" s="21">
        <f>+'4.Gorcarakan ev tntesagitakan'!K46+'4.Gorcarakan ev tntesagitakan'!K371+'4.Gorcarakan ev tntesagitakan'!K462+'4.Gorcarakan ev tntesagitakan'!K562</f>
        <v>8011.3561264822129</v>
      </c>
      <c r="I190" s="21">
        <f>+'4.Gorcarakan ev tntesagitakan'!L46+'4.Gorcarakan ev tntesagitakan'!L371+'4.Gorcarakan ev tntesagitakan'!L462+'4.Gorcarakan ev tntesagitakan'!L562</f>
        <v>12122.028063241109</v>
      </c>
      <c r="J190" s="21">
        <f>+'4.Gorcarakan ev tntesagitakan'!M46+'4.Gorcarakan ev tntesagitakan'!M371+'4.Gorcarakan ev tntesagitakan'!M462+'4.Gorcarakan ev tntesagitakan'!M562</f>
        <v>16232.7</v>
      </c>
      <c r="K190" s="33">
        <f t="shared" si="9"/>
        <v>0</v>
      </c>
      <c r="L190" s="19"/>
      <c r="M190" s="154"/>
    </row>
    <row r="191" spans="1:13" x14ac:dyDescent="0.25">
      <c r="A191" s="51">
        <v>5123</v>
      </c>
      <c r="B191" s="9" t="s">
        <v>502</v>
      </c>
      <c r="C191" s="56" t="s">
        <v>95</v>
      </c>
      <c r="D191" s="21">
        <f>+'4.Gorcarakan ev tntesagitakan'!G48+'4.Gorcarakan ev tntesagitakan'!G372+'4.Gorcarakan ev tntesagitakan'!G439+'4.Gorcarakan ev tntesagitakan'!G463</f>
        <v>237579.03400000001</v>
      </c>
      <c r="E191" s="21" t="s">
        <v>1</v>
      </c>
      <c r="F191" s="21">
        <f>+'4.Gorcarakan ev tntesagitakan'!I48+'4.Gorcarakan ev tntesagitakan'!I372+'4.Gorcarakan ev tntesagitakan'!I439+'4.Gorcarakan ev tntesagitakan'!I463</f>
        <v>237579.03400000001</v>
      </c>
      <c r="G191" s="21">
        <f>+'4.Gorcarakan ev tntesagitakan'!J48+'4.Gorcarakan ev tntesagitakan'!J372+'4.Gorcarakan ev tntesagitakan'!J439+'4.Gorcarakan ev tntesagitakan'!J463</f>
        <v>76079.826513833992</v>
      </c>
      <c r="H191" s="21">
        <f>+'4.Gorcarakan ev tntesagitakan'!K48+'4.Gorcarakan ev tntesagitakan'!K372+'4.Gorcarakan ev tntesagitakan'!K439+'4.Gorcarakan ev tntesagitakan'!K463</f>
        <v>127658.10743873518</v>
      </c>
      <c r="I191" s="21">
        <f>+'4.Gorcarakan ev tntesagitakan'!L48+'4.Gorcarakan ev tntesagitakan'!L372+'4.Gorcarakan ev tntesagitakan'!L439+'4.Gorcarakan ev tntesagitakan'!L463</f>
        <v>182618.57071936762</v>
      </c>
      <c r="J191" s="21">
        <f>+'4.Gorcarakan ev tntesagitakan'!M48+'4.Gorcarakan ev tntesagitakan'!M372+'4.Gorcarakan ev tntesagitakan'!M439+'4.Gorcarakan ev tntesagitakan'!M463</f>
        <v>237579.03400000001</v>
      </c>
      <c r="K191" s="33">
        <f t="shared" si="9"/>
        <v>0</v>
      </c>
      <c r="L191" s="19"/>
      <c r="M191" s="154"/>
    </row>
    <row r="192" spans="1:13" ht="27" x14ac:dyDescent="0.25">
      <c r="A192" s="51">
        <v>5130</v>
      </c>
      <c r="B192" s="9" t="s">
        <v>503</v>
      </c>
      <c r="C192" s="54" t="s">
        <v>19</v>
      </c>
      <c r="D192" s="21">
        <f>SUM(D194:D197)</f>
        <v>172925.08086000002</v>
      </c>
      <c r="E192" s="21" t="s">
        <v>1</v>
      </c>
      <c r="F192" s="21">
        <f t="shared" ref="F192:J192" si="12">SUM(F194:F197)</f>
        <v>172925.08086000002</v>
      </c>
      <c r="G192" s="21">
        <f t="shared" si="12"/>
        <v>96004.331198893065</v>
      </c>
      <c r="H192" s="21">
        <f t="shared" si="12"/>
        <v>116138.75630743062</v>
      </c>
      <c r="I192" s="21">
        <f t="shared" si="12"/>
        <v>149830.94032284606</v>
      </c>
      <c r="J192" s="21">
        <f t="shared" si="12"/>
        <v>172925.08086000002</v>
      </c>
      <c r="K192" s="33">
        <f t="shared" si="9"/>
        <v>0</v>
      </c>
      <c r="L192" s="19"/>
      <c r="M192" s="154"/>
    </row>
    <row r="193" spans="1:13" x14ac:dyDescent="0.25">
      <c r="A193" s="51"/>
      <c r="B193" s="11" t="s">
        <v>156</v>
      </c>
      <c r="C193" s="54"/>
      <c r="D193" s="21"/>
      <c r="E193" s="21"/>
      <c r="F193" s="21"/>
      <c r="G193" s="21"/>
      <c r="H193" s="21"/>
      <c r="I193" s="21"/>
      <c r="J193" s="21"/>
      <c r="K193" s="33">
        <f t="shared" si="9"/>
        <v>0</v>
      </c>
      <c r="L193" s="19"/>
      <c r="M193" s="154"/>
    </row>
    <row r="194" spans="1:13" x14ac:dyDescent="0.25">
      <c r="A194" s="51">
        <v>5131</v>
      </c>
      <c r="B194" s="9" t="s">
        <v>504</v>
      </c>
      <c r="C194" s="56" t="s">
        <v>96</v>
      </c>
      <c r="D194" s="21">
        <f>'4.Gorcarakan ev tntesagitakan'!G49+'4.Gorcarakan ev tntesagitakan'!G407</f>
        <v>8414.4</v>
      </c>
      <c r="E194" s="21" t="s">
        <v>1</v>
      </c>
      <c r="F194" s="21">
        <f>'4.Gorcarakan ev tntesagitakan'!I49+'4.Gorcarakan ev tntesagitakan'!I407</f>
        <v>8414.4</v>
      </c>
      <c r="G194" s="21">
        <f>'4.Gorcarakan ev tntesagitakan'!J49+'4.Gorcarakan ev tntesagitakan'!J407</f>
        <v>3016.5739130434786</v>
      </c>
      <c r="H194" s="21">
        <f>'4.Gorcarakan ev tntesagitakan'!K49+'4.Gorcarakan ev tntesagitakan'!K407</f>
        <v>6577.4434782608696</v>
      </c>
      <c r="I194" s="21">
        <f>'4.Gorcarakan ev tntesagitakan'!L49+'4.Gorcarakan ev tntesagitakan'!L407</f>
        <v>6577.4434782608696</v>
      </c>
      <c r="J194" s="21">
        <f>'4.Gorcarakan ev tntesagitakan'!M49+'4.Gorcarakan ev tntesagitakan'!M407</f>
        <v>8414.4</v>
      </c>
      <c r="K194" s="33">
        <f t="shared" si="9"/>
        <v>0</v>
      </c>
      <c r="L194" s="19"/>
      <c r="M194" s="154"/>
    </row>
    <row r="195" spans="1:13" x14ac:dyDescent="0.25">
      <c r="A195" s="51">
        <v>5132</v>
      </c>
      <c r="B195" s="9" t="s">
        <v>505</v>
      </c>
      <c r="C195" s="56" t="s">
        <v>97</v>
      </c>
      <c r="D195" s="21"/>
      <c r="E195" s="21" t="s">
        <v>1</v>
      </c>
      <c r="F195" s="21"/>
      <c r="G195" s="21"/>
      <c r="H195" s="21"/>
      <c r="I195" s="21"/>
      <c r="J195" s="21"/>
      <c r="K195" s="33">
        <f t="shared" si="9"/>
        <v>0</v>
      </c>
      <c r="L195" s="19"/>
      <c r="M195" s="154"/>
    </row>
    <row r="196" spans="1:13" x14ac:dyDescent="0.25">
      <c r="A196" s="51">
        <v>5133</v>
      </c>
      <c r="B196" s="9" t="s">
        <v>506</v>
      </c>
      <c r="C196" s="56" t="s">
        <v>98</v>
      </c>
      <c r="D196" s="21"/>
      <c r="E196" s="21" t="s">
        <v>1</v>
      </c>
      <c r="F196" s="21"/>
      <c r="G196" s="21"/>
      <c r="H196" s="21"/>
      <c r="I196" s="21"/>
      <c r="J196" s="21"/>
      <c r="K196" s="33">
        <f t="shared" si="9"/>
        <v>0</v>
      </c>
      <c r="L196" s="19"/>
      <c r="M196" s="154"/>
    </row>
    <row r="197" spans="1:13" x14ac:dyDescent="0.25">
      <c r="A197" s="51">
        <v>5134</v>
      </c>
      <c r="B197" s="9" t="s">
        <v>507</v>
      </c>
      <c r="C197" s="56" t="s">
        <v>99</v>
      </c>
      <c r="D197" s="21">
        <f>'4.Gorcarakan ev tntesagitakan'!G50+'4.Gorcarakan ev tntesagitakan'!G99+'4.Gorcarakan ev tntesagitakan'!G288+'4.Gorcarakan ev tntesagitakan'!G408+'4.Gorcarakan ev tntesagitakan'!G464</f>
        <v>164510.68086000002</v>
      </c>
      <c r="E197" s="21" t="s">
        <v>1</v>
      </c>
      <c r="F197" s="21">
        <f>'4.Gorcarakan ev tntesagitakan'!I50+'4.Gorcarakan ev tntesagitakan'!I99+'4.Gorcarakan ev tntesagitakan'!I288+'4.Gorcarakan ev tntesagitakan'!I408+'4.Gorcarakan ev tntesagitakan'!I464</f>
        <v>164510.68086000002</v>
      </c>
      <c r="G197" s="21">
        <f>'4.Gorcarakan ev tntesagitakan'!J50+'4.Gorcarakan ev tntesagitakan'!J99+'4.Gorcarakan ev tntesagitakan'!J288+'4.Gorcarakan ev tntesagitakan'!J408+'4.Gorcarakan ev tntesagitakan'!J464</f>
        <v>92987.757285849584</v>
      </c>
      <c r="H197" s="21">
        <f>'4.Gorcarakan ev tntesagitakan'!K50+'4.Gorcarakan ev tntesagitakan'!K99+'4.Gorcarakan ev tntesagitakan'!K288+'4.Gorcarakan ev tntesagitakan'!K408+'4.Gorcarakan ev tntesagitakan'!K464</f>
        <v>109561.31282916975</v>
      </c>
      <c r="I197" s="21">
        <f>'4.Gorcarakan ev tntesagitakan'!L50+'4.Gorcarakan ev tntesagitakan'!L99+'4.Gorcarakan ev tntesagitakan'!L288+'4.Gorcarakan ev tntesagitakan'!L408+'4.Gorcarakan ev tntesagitakan'!L464</f>
        <v>143253.4968445852</v>
      </c>
      <c r="J197" s="21">
        <f>'4.Gorcarakan ev tntesagitakan'!M50+'4.Gorcarakan ev tntesagitakan'!M99+'4.Gorcarakan ev tntesagitakan'!M288+'4.Gorcarakan ev tntesagitakan'!M408+'4.Gorcarakan ev tntesagitakan'!M464</f>
        <v>164510.68086000002</v>
      </c>
      <c r="K197" s="33">
        <f t="shared" si="9"/>
        <v>0</v>
      </c>
      <c r="L197" s="19"/>
      <c r="M197" s="154"/>
    </row>
    <row r="198" spans="1:13" x14ac:dyDescent="0.25">
      <c r="A198" s="51">
        <v>5200</v>
      </c>
      <c r="B198" s="9" t="s">
        <v>508</v>
      </c>
      <c r="C198" s="54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  <c r="K198" s="33">
        <f t="shared" si="9"/>
        <v>0</v>
      </c>
      <c r="L198" s="19"/>
      <c r="M198" s="154"/>
    </row>
    <row r="199" spans="1:13" x14ac:dyDescent="0.25">
      <c r="A199" s="51"/>
      <c r="B199" s="11" t="s">
        <v>376</v>
      </c>
      <c r="C199" s="52"/>
      <c r="D199" s="21"/>
      <c r="E199" s="21"/>
      <c r="F199" s="21"/>
      <c r="G199" s="21"/>
      <c r="H199" s="21"/>
      <c r="I199" s="21"/>
      <c r="J199" s="21"/>
      <c r="K199" s="33">
        <f t="shared" si="9"/>
        <v>0</v>
      </c>
      <c r="L199" s="19"/>
      <c r="M199" s="154"/>
    </row>
    <row r="200" spans="1:13" ht="27" x14ac:dyDescent="0.25">
      <c r="A200" s="51">
        <v>5211</v>
      </c>
      <c r="B200" s="9" t="s">
        <v>509</v>
      </c>
      <c r="C200" s="56" t="s">
        <v>100</v>
      </c>
      <c r="D200" s="21"/>
      <c r="E200" s="21" t="s">
        <v>1</v>
      </c>
      <c r="F200" s="21"/>
      <c r="G200" s="21">
        <f>+D200/4</f>
        <v>0</v>
      </c>
      <c r="H200" s="21">
        <f>+D200/4*2</f>
        <v>0</v>
      </c>
      <c r="I200" s="21">
        <f>+D200/4*3</f>
        <v>0</v>
      </c>
      <c r="J200" s="21">
        <f>+D200</f>
        <v>0</v>
      </c>
      <c r="K200" s="33">
        <f t="shared" si="9"/>
        <v>0</v>
      </c>
      <c r="L200" s="19"/>
      <c r="M200" s="154"/>
    </row>
    <row r="201" spans="1:13" x14ac:dyDescent="0.25">
      <c r="A201" s="51">
        <v>5221</v>
      </c>
      <c r="B201" s="9" t="s">
        <v>510</v>
      </c>
      <c r="C201" s="56" t="s">
        <v>101</v>
      </c>
      <c r="D201" s="21"/>
      <c r="E201" s="21" t="s">
        <v>1</v>
      </c>
      <c r="F201" s="21"/>
      <c r="G201" s="21">
        <f>+D201/4</f>
        <v>0</v>
      </c>
      <c r="H201" s="21">
        <f>+D201/4*2</f>
        <v>0</v>
      </c>
      <c r="I201" s="21">
        <f>+D201/4*3</f>
        <v>0</v>
      </c>
      <c r="J201" s="21">
        <f>+D201</f>
        <v>0</v>
      </c>
      <c r="K201" s="33">
        <f t="shared" si="9"/>
        <v>0</v>
      </c>
      <c r="L201" s="19"/>
      <c r="M201" s="154"/>
    </row>
    <row r="202" spans="1:13" x14ac:dyDescent="0.25">
      <c r="A202" s="51">
        <v>5231</v>
      </c>
      <c r="B202" s="9" t="s">
        <v>511</v>
      </c>
      <c r="C202" s="56" t="s">
        <v>102</v>
      </c>
      <c r="D202" s="21"/>
      <c r="E202" s="21" t="s">
        <v>1</v>
      </c>
      <c r="F202" s="21"/>
      <c r="G202" s="21">
        <f>+D202/4</f>
        <v>0</v>
      </c>
      <c r="H202" s="21">
        <f>+D202/4*2</f>
        <v>0</v>
      </c>
      <c r="I202" s="21">
        <f>+D202/4*3</f>
        <v>0</v>
      </c>
      <c r="J202" s="21">
        <f>+D202</f>
        <v>0</v>
      </c>
      <c r="K202" s="33">
        <f t="shared" si="9"/>
        <v>0</v>
      </c>
      <c r="L202" s="19"/>
      <c r="M202" s="154"/>
    </row>
    <row r="203" spans="1:13" x14ac:dyDescent="0.25">
      <c r="A203" s="51">
        <v>5241</v>
      </c>
      <c r="B203" s="9" t="s">
        <v>512</v>
      </c>
      <c r="C203" s="56" t="s">
        <v>103</v>
      </c>
      <c r="D203" s="21"/>
      <c r="E203" s="21" t="s">
        <v>1</v>
      </c>
      <c r="F203" s="21"/>
      <c r="G203" s="21">
        <f>+D203/4</f>
        <v>0</v>
      </c>
      <c r="H203" s="21">
        <f>+D203/4*2</f>
        <v>0</v>
      </c>
      <c r="I203" s="21">
        <f>+D203/4*3</f>
        <v>0</v>
      </c>
      <c r="J203" s="21">
        <f>+D203</f>
        <v>0</v>
      </c>
      <c r="K203" s="33">
        <f t="shared" si="9"/>
        <v>0</v>
      </c>
      <c r="L203" s="19"/>
      <c r="M203" s="154"/>
    </row>
    <row r="204" spans="1:13" x14ac:dyDescent="0.25">
      <c r="A204" s="51">
        <v>5300</v>
      </c>
      <c r="B204" s="9" t="s">
        <v>513</v>
      </c>
      <c r="C204" s="54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  <c r="K204" s="33">
        <f t="shared" si="9"/>
        <v>0</v>
      </c>
      <c r="L204" s="19"/>
      <c r="M204" s="154"/>
    </row>
    <row r="205" spans="1:13" x14ac:dyDescent="0.25">
      <c r="A205" s="51"/>
      <c r="B205" s="11" t="s">
        <v>376</v>
      </c>
      <c r="C205" s="52"/>
      <c r="D205" s="21"/>
      <c r="E205" s="21"/>
      <c r="F205" s="21"/>
      <c r="G205" s="21"/>
      <c r="H205" s="21"/>
      <c r="I205" s="21"/>
      <c r="J205" s="21"/>
      <c r="K205" s="33">
        <f t="shared" si="9"/>
        <v>0</v>
      </c>
      <c r="L205" s="19"/>
      <c r="M205" s="154"/>
    </row>
    <row r="206" spans="1:13" x14ac:dyDescent="0.25">
      <c r="A206" s="51">
        <v>5311</v>
      </c>
      <c r="B206" s="9" t="s">
        <v>514</v>
      </c>
      <c r="C206" s="56" t="s">
        <v>104</v>
      </c>
      <c r="D206" s="21"/>
      <c r="E206" s="21" t="s">
        <v>1</v>
      </c>
      <c r="F206" s="21"/>
      <c r="G206" s="21">
        <f>+D206/4</f>
        <v>0</v>
      </c>
      <c r="H206" s="21">
        <f>+D206/4*2</f>
        <v>0</v>
      </c>
      <c r="I206" s="21">
        <f>+D206/4*3</f>
        <v>0</v>
      </c>
      <c r="J206" s="21">
        <f>+D206</f>
        <v>0</v>
      </c>
      <c r="K206" s="33">
        <f t="shared" si="9"/>
        <v>0</v>
      </c>
      <c r="L206" s="19"/>
      <c r="M206" s="154"/>
    </row>
    <row r="207" spans="1:13" ht="27" x14ac:dyDescent="0.25">
      <c r="A207" s="51">
        <v>5400</v>
      </c>
      <c r="B207" s="9" t="s">
        <v>515</v>
      </c>
      <c r="C207" s="54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  <c r="K207" s="33">
        <f t="shared" si="9"/>
        <v>0</v>
      </c>
      <c r="L207" s="19"/>
      <c r="M207" s="154"/>
    </row>
    <row r="208" spans="1:13" x14ac:dyDescent="0.25">
      <c r="A208" s="51"/>
      <c r="B208" s="11" t="s">
        <v>376</v>
      </c>
      <c r="C208" s="52"/>
      <c r="D208" s="21"/>
      <c r="E208" s="21"/>
      <c r="F208" s="21"/>
      <c r="G208" s="21"/>
      <c r="H208" s="21"/>
      <c r="I208" s="21"/>
      <c r="J208" s="21"/>
      <c r="K208" s="33">
        <f t="shared" si="9"/>
        <v>0</v>
      </c>
      <c r="L208" s="19"/>
      <c r="M208" s="154"/>
    </row>
    <row r="209" spans="1:13" x14ac:dyDescent="0.25">
      <c r="A209" s="51">
        <v>5411</v>
      </c>
      <c r="B209" s="9" t="s">
        <v>516</v>
      </c>
      <c r="C209" s="56" t="s">
        <v>105</v>
      </c>
      <c r="D209" s="21">
        <f>+'4.Gorcarakan ev tntesagitakan'!G590</f>
        <v>0</v>
      </c>
      <c r="E209" s="21" t="s">
        <v>1</v>
      </c>
      <c r="F209" s="21">
        <f>+'4.Gorcarakan ev tntesagitakan'!I590</f>
        <v>0</v>
      </c>
      <c r="G209" s="21">
        <f>+'4.Gorcarakan ev tntesagitakan'!J590</f>
        <v>0</v>
      </c>
      <c r="H209" s="21">
        <f>+'4.Gorcarakan ev tntesagitakan'!K590</f>
        <v>0</v>
      </c>
      <c r="I209" s="21">
        <f>+'4.Gorcarakan ev tntesagitakan'!L590</f>
        <v>0</v>
      </c>
      <c r="J209" s="21">
        <f>+'4.Gorcarakan ev tntesagitakan'!M590</f>
        <v>0</v>
      </c>
      <c r="K209" s="33">
        <f t="shared" si="9"/>
        <v>0</v>
      </c>
      <c r="L209" s="19"/>
      <c r="M209" s="154"/>
    </row>
    <row r="210" spans="1:13" x14ac:dyDescent="0.25">
      <c r="A210" s="51">
        <v>5421</v>
      </c>
      <c r="B210" s="9" t="s">
        <v>517</v>
      </c>
      <c r="C210" s="56" t="s">
        <v>106</v>
      </c>
      <c r="D210" s="21"/>
      <c r="E210" s="21" t="s">
        <v>1</v>
      </c>
      <c r="F210" s="21"/>
      <c r="G210" s="21"/>
      <c r="H210" s="21"/>
      <c r="I210" s="21"/>
      <c r="J210" s="21"/>
      <c r="K210" s="33">
        <f t="shared" si="9"/>
        <v>0</v>
      </c>
      <c r="L210" s="19"/>
      <c r="M210" s="154"/>
    </row>
    <row r="211" spans="1:13" x14ac:dyDescent="0.25">
      <c r="A211" s="51">
        <v>5431</v>
      </c>
      <c r="B211" s="9" t="s">
        <v>518</v>
      </c>
      <c r="C211" s="56" t="s">
        <v>107</v>
      </c>
      <c r="D211" s="21"/>
      <c r="E211" s="21" t="s">
        <v>1</v>
      </c>
      <c r="F211" s="21"/>
      <c r="G211" s="21"/>
      <c r="H211" s="21"/>
      <c r="I211" s="21"/>
      <c r="J211" s="21"/>
      <c r="K211" s="33">
        <f t="shared" si="9"/>
        <v>0</v>
      </c>
      <c r="L211" s="19"/>
      <c r="M211" s="154"/>
    </row>
    <row r="212" spans="1:13" x14ac:dyDescent="0.25">
      <c r="A212" s="51">
        <v>5441</v>
      </c>
      <c r="B212" s="11" t="s">
        <v>519</v>
      </c>
      <c r="C212" s="56" t="s">
        <v>108</v>
      </c>
      <c r="D212" s="21"/>
      <c r="E212" s="21" t="s">
        <v>1</v>
      </c>
      <c r="F212" s="21"/>
      <c r="G212" s="21"/>
      <c r="H212" s="21"/>
      <c r="I212" s="21"/>
      <c r="J212" s="21"/>
      <c r="K212" s="33">
        <f t="shared" ref="K212:K236" si="13">+D212-J212</f>
        <v>0</v>
      </c>
      <c r="L212" s="19"/>
      <c r="M212" s="154"/>
    </row>
    <row r="213" spans="1:13" ht="57" customHeight="1" x14ac:dyDescent="0.25">
      <c r="A213" s="57" t="s">
        <v>109</v>
      </c>
      <c r="B213" s="67" t="s">
        <v>520</v>
      </c>
      <c r="C213" s="57" t="s">
        <v>19</v>
      </c>
      <c r="D213" s="21">
        <f>SUM(D215,D220,D228,D231)</f>
        <v>-1543265</v>
      </c>
      <c r="E213" s="21"/>
      <c r="F213" s="21">
        <f>SUM(F215,F220,F228,F231)</f>
        <v>-1543265</v>
      </c>
      <c r="G213" s="21">
        <f>SUM(G215,G220,G228,G231)</f>
        <v>-514522.742212885</v>
      </c>
      <c r="H213" s="21">
        <f>SUM(H215,H220,H228,H231)</f>
        <v>-881643.93830260844</v>
      </c>
      <c r="I213" s="21">
        <f>SUM(I215,I220,I228,I231)</f>
        <v>-1280138.6865504344</v>
      </c>
      <c r="J213" s="21">
        <f>SUM(J215,J220,J228,J231)</f>
        <v>-1543265</v>
      </c>
      <c r="K213" s="33">
        <f t="shared" si="13"/>
        <v>0</v>
      </c>
      <c r="L213" s="19"/>
      <c r="M213" s="154"/>
    </row>
    <row r="214" spans="1:13" ht="44.25" customHeight="1" x14ac:dyDescent="0.25">
      <c r="A214" s="57"/>
      <c r="B214" s="14" t="s">
        <v>154</v>
      </c>
      <c r="C214" s="57"/>
      <c r="D214" s="21"/>
      <c r="E214" s="21"/>
      <c r="F214" s="21"/>
      <c r="G214" s="21"/>
      <c r="H214" s="21"/>
      <c r="I214" s="21"/>
      <c r="J214" s="21"/>
      <c r="K214" s="33">
        <f t="shared" si="13"/>
        <v>0</v>
      </c>
      <c r="L214" s="19"/>
      <c r="M214" s="154"/>
    </row>
    <row r="215" spans="1:13" ht="33" x14ac:dyDescent="0.25">
      <c r="A215" s="58" t="s">
        <v>111</v>
      </c>
      <c r="B215" s="68" t="s">
        <v>521</v>
      </c>
      <c r="C215" s="59" t="s">
        <v>19</v>
      </c>
      <c r="D215" s="21">
        <f>SUM(D217:D219)</f>
        <v>-1049265</v>
      </c>
      <c r="E215" s="21" t="s">
        <v>110</v>
      </c>
      <c r="F215" s="21">
        <f>SUM(F217:F219)</f>
        <v>-1049265</v>
      </c>
      <c r="G215" s="21">
        <f>+G217+G219</f>
        <v>-404089.52328035532</v>
      </c>
      <c r="H215" s="21">
        <f>+H217+H219</f>
        <v>-628276.60353865603</v>
      </c>
      <c r="I215" s="21">
        <f>+I217+I219</f>
        <v>-872612.91046889301</v>
      </c>
      <c r="J215" s="21">
        <f>+J217+J219</f>
        <v>-1049265</v>
      </c>
      <c r="K215" s="33">
        <f t="shared" si="13"/>
        <v>0</v>
      </c>
      <c r="L215" s="19"/>
      <c r="M215" s="154"/>
    </row>
    <row r="216" spans="1:13" ht="44.25" customHeight="1" x14ac:dyDescent="0.25">
      <c r="A216" s="58"/>
      <c r="B216" s="14" t="s">
        <v>154</v>
      </c>
      <c r="C216" s="59"/>
      <c r="D216" s="21"/>
      <c r="E216" s="21"/>
      <c r="F216" s="21"/>
      <c r="G216" s="21"/>
      <c r="H216" s="21"/>
      <c r="I216" s="21"/>
      <c r="J216" s="21"/>
      <c r="K216" s="33">
        <f t="shared" si="13"/>
        <v>0</v>
      </c>
      <c r="L216" s="19"/>
      <c r="M216" s="154"/>
    </row>
    <row r="217" spans="1:13" ht="37.5" customHeight="1" x14ac:dyDescent="0.25">
      <c r="A217" s="58" t="s">
        <v>112</v>
      </c>
      <c r="B217" s="14" t="s">
        <v>522</v>
      </c>
      <c r="C217" s="58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  <c r="K217" s="33">
        <f t="shared" si="13"/>
        <v>0</v>
      </c>
      <c r="L217" s="19"/>
      <c r="M217" s="154"/>
    </row>
    <row r="218" spans="1:13" s="205" customFormat="1" ht="14.25" x14ac:dyDescent="0.25">
      <c r="A218" s="58" t="s">
        <v>114</v>
      </c>
      <c r="B218" s="14" t="s">
        <v>523</v>
      </c>
      <c r="C218" s="58" t="s">
        <v>115</v>
      </c>
      <c r="D218" s="21">
        <f>SUM(E218:F218)</f>
        <v>0</v>
      </c>
      <c r="E218" s="21" t="s">
        <v>0</v>
      </c>
      <c r="F218" s="60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  <c r="K218" s="33">
        <f t="shared" si="13"/>
        <v>0</v>
      </c>
      <c r="L218" s="19"/>
      <c r="M218" s="154"/>
    </row>
    <row r="219" spans="1:13" ht="27" x14ac:dyDescent="0.25">
      <c r="A219" s="20" t="s">
        <v>116</v>
      </c>
      <c r="B219" s="14" t="s">
        <v>524</v>
      </c>
      <c r="C219" s="59" t="s">
        <v>117</v>
      </c>
      <c r="D219" s="21">
        <f>+F219</f>
        <v>-1049265</v>
      </c>
      <c r="E219" s="21" t="s">
        <v>110</v>
      </c>
      <c r="F219" s="21">
        <f>-1035160-14105</f>
        <v>-1049265</v>
      </c>
      <c r="G219" s="146">
        <f>-386609.029209209-14105-3375.4940711463</f>
        <v>-404089.52328035532</v>
      </c>
      <c r="H219" s="146">
        <f>-614171.603538656-14105</f>
        <v>-628276.60353865603</v>
      </c>
      <c r="I219" s="146">
        <f>-858507.910468893-14105</f>
        <v>-872612.91046889301</v>
      </c>
      <c r="J219" s="146">
        <f t="shared" ref="J219" si="14">+D219</f>
        <v>-1049265</v>
      </c>
      <c r="K219" s="33">
        <f t="shared" si="13"/>
        <v>0</v>
      </c>
      <c r="L219" s="19"/>
      <c r="M219" s="154"/>
    </row>
    <row r="220" spans="1:13" ht="33" x14ac:dyDescent="0.25">
      <c r="A220" s="20" t="s">
        <v>118</v>
      </c>
      <c r="B220" s="68" t="s">
        <v>525</v>
      </c>
      <c r="C220" s="59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  <c r="K220" s="33">
        <f t="shared" si="13"/>
        <v>0</v>
      </c>
      <c r="L220" s="19"/>
      <c r="M220" s="154"/>
    </row>
    <row r="221" spans="1:13" x14ac:dyDescent="0.25">
      <c r="A221" s="20"/>
      <c r="B221" s="14" t="s">
        <v>154</v>
      </c>
      <c r="C221" s="59"/>
      <c r="D221" s="21"/>
      <c r="E221" s="21"/>
      <c r="F221" s="21"/>
      <c r="G221" s="21"/>
      <c r="H221" s="21"/>
      <c r="I221" s="21"/>
      <c r="J221" s="21"/>
      <c r="K221" s="33">
        <f t="shared" si="13"/>
        <v>0</v>
      </c>
      <c r="L221" s="19"/>
      <c r="M221" s="154"/>
    </row>
    <row r="222" spans="1:13" s="206" customFormat="1" ht="31.5" customHeight="1" x14ac:dyDescent="0.25">
      <c r="A222" s="65" t="s">
        <v>119</v>
      </c>
      <c r="B222" s="14" t="s">
        <v>526</v>
      </c>
      <c r="C222" s="58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  <c r="K222" s="33">
        <f t="shared" si="13"/>
        <v>0</v>
      </c>
      <c r="L222" s="19"/>
      <c r="M222" s="154"/>
    </row>
    <row r="223" spans="1:13" ht="33" customHeight="1" x14ac:dyDescent="0.25">
      <c r="A223" s="20" t="s">
        <v>121</v>
      </c>
      <c r="B223" s="14" t="s">
        <v>527</v>
      </c>
      <c r="C223" s="59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  <c r="K223" s="33">
        <f t="shared" si="13"/>
        <v>0</v>
      </c>
      <c r="L223" s="19"/>
      <c r="M223" s="154"/>
    </row>
    <row r="224" spans="1:13" x14ac:dyDescent="0.25">
      <c r="A224" s="20"/>
      <c r="B224" s="14" t="s">
        <v>156</v>
      </c>
      <c r="C224" s="59"/>
      <c r="D224" s="21"/>
      <c r="E224" s="21"/>
      <c r="F224" s="21"/>
      <c r="G224" s="21"/>
      <c r="H224" s="21"/>
      <c r="I224" s="21"/>
      <c r="J224" s="21"/>
      <c r="K224" s="33">
        <f t="shared" si="13"/>
        <v>0</v>
      </c>
      <c r="L224" s="19"/>
      <c r="M224" s="154"/>
    </row>
    <row r="225" spans="1:13" x14ac:dyDescent="0.25">
      <c r="A225" s="20" t="s">
        <v>122</v>
      </c>
      <c r="B225" s="14" t="s">
        <v>528</v>
      </c>
      <c r="C225" s="58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  <c r="K225" s="33">
        <f t="shared" si="13"/>
        <v>0</v>
      </c>
      <c r="L225" s="19"/>
      <c r="M225" s="154"/>
    </row>
    <row r="226" spans="1:13" ht="30.75" customHeight="1" x14ac:dyDescent="0.25">
      <c r="A226" s="61" t="s">
        <v>124</v>
      </c>
      <c r="B226" s="14" t="s">
        <v>529</v>
      </c>
      <c r="C226" s="59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  <c r="K226" s="33">
        <f t="shared" si="13"/>
        <v>0</v>
      </c>
      <c r="L226" s="19"/>
      <c r="M226" s="154"/>
    </row>
    <row r="227" spans="1:13" ht="33" customHeight="1" x14ac:dyDescent="0.25">
      <c r="A227" s="20" t="s">
        <v>126</v>
      </c>
      <c r="B227" s="7" t="s">
        <v>530</v>
      </c>
      <c r="C227" s="59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  <c r="K227" s="33">
        <f t="shared" si="13"/>
        <v>0</v>
      </c>
      <c r="L227" s="19"/>
      <c r="M227" s="154"/>
    </row>
    <row r="228" spans="1:13" ht="33" x14ac:dyDescent="0.25">
      <c r="A228" s="20" t="s">
        <v>128</v>
      </c>
      <c r="B228" s="68" t="s">
        <v>531</v>
      </c>
      <c r="C228" s="59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  <c r="K228" s="33">
        <f t="shared" si="13"/>
        <v>0</v>
      </c>
      <c r="L228" s="19"/>
      <c r="M228" s="154"/>
    </row>
    <row r="229" spans="1:13" x14ac:dyDescent="0.25">
      <c r="A229" s="20"/>
      <c r="B229" s="14" t="s">
        <v>154</v>
      </c>
      <c r="C229" s="59"/>
      <c r="D229" s="21"/>
      <c r="E229" s="21"/>
      <c r="F229" s="21"/>
      <c r="G229" s="21"/>
      <c r="H229" s="21"/>
      <c r="I229" s="21"/>
      <c r="J229" s="21"/>
      <c r="K229" s="33">
        <f t="shared" si="13"/>
        <v>0</v>
      </c>
      <c r="L229" s="19"/>
      <c r="M229" s="154"/>
    </row>
    <row r="230" spans="1:13" x14ac:dyDescent="0.25">
      <c r="A230" s="61" t="s">
        <v>129</v>
      </c>
      <c r="B230" s="14" t="s">
        <v>532</v>
      </c>
      <c r="C230" s="57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  <c r="K230" s="33">
        <f t="shared" si="13"/>
        <v>0</v>
      </c>
      <c r="L230" s="19"/>
      <c r="M230" s="154"/>
    </row>
    <row r="231" spans="1:13" ht="49.5" x14ac:dyDescent="0.25">
      <c r="A231" s="20" t="s">
        <v>131</v>
      </c>
      <c r="B231" s="68" t="s">
        <v>533</v>
      </c>
      <c r="C231" s="59" t="s">
        <v>19</v>
      </c>
      <c r="D231" s="21">
        <f>SUM(D233:D236)</f>
        <v>-494000</v>
      </c>
      <c r="E231" s="21" t="s">
        <v>110</v>
      </c>
      <c r="F231" s="21">
        <f>SUM(F233:F236)</f>
        <v>-494000</v>
      </c>
      <c r="G231" s="21">
        <f>SUM(G233:G236)</f>
        <v>-110433.21893252966</v>
      </c>
      <c r="H231" s="21">
        <f>SUM(H233:H236)</f>
        <v>-253367.33476395244</v>
      </c>
      <c r="I231" s="21">
        <f>SUM(I233:I236)</f>
        <v>-407525.77608154149</v>
      </c>
      <c r="J231" s="21">
        <f>SUM(J233:J236)</f>
        <v>-494000</v>
      </c>
      <c r="K231" s="33">
        <f t="shared" si="13"/>
        <v>0</v>
      </c>
      <c r="L231" s="19"/>
      <c r="M231" s="154"/>
    </row>
    <row r="232" spans="1:13" x14ac:dyDescent="0.25">
      <c r="A232" s="20"/>
      <c r="B232" s="14" t="s">
        <v>154</v>
      </c>
      <c r="C232" s="59"/>
      <c r="D232" s="21"/>
      <c r="E232" s="21"/>
      <c r="F232" s="21"/>
      <c r="G232" s="21"/>
      <c r="H232" s="21"/>
      <c r="I232" s="21"/>
      <c r="J232" s="21"/>
      <c r="K232" s="33">
        <f t="shared" si="13"/>
        <v>0</v>
      </c>
      <c r="L232" s="19"/>
      <c r="M232" s="154"/>
    </row>
    <row r="233" spans="1:13" x14ac:dyDescent="0.25">
      <c r="A233" s="20" t="s">
        <v>132</v>
      </c>
      <c r="B233" s="14" t="s">
        <v>534</v>
      </c>
      <c r="C233" s="58" t="s">
        <v>133</v>
      </c>
      <c r="D233" s="21">
        <f>+F233</f>
        <v>-494000</v>
      </c>
      <c r="E233" s="21" t="s">
        <v>110</v>
      </c>
      <c r="F233" s="21">
        <v>-494000</v>
      </c>
      <c r="G233" s="146">
        <v>-110433.21893252966</v>
      </c>
      <c r="H233" s="146">
        <v>-253367.33476395244</v>
      </c>
      <c r="I233" s="146">
        <v>-407525.77608154149</v>
      </c>
      <c r="J233" s="146">
        <f t="shared" ref="J233" si="15">+D233</f>
        <v>-494000</v>
      </c>
      <c r="K233" s="33">
        <f t="shared" si="13"/>
        <v>0</v>
      </c>
      <c r="L233" s="19"/>
      <c r="M233" s="154"/>
    </row>
    <row r="234" spans="1:13" x14ac:dyDescent="0.25">
      <c r="A234" s="61" t="s">
        <v>134</v>
      </c>
      <c r="B234" s="14" t="s">
        <v>535</v>
      </c>
      <c r="C234" s="57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  <c r="K234" s="33">
        <f t="shared" si="13"/>
        <v>0</v>
      </c>
      <c r="L234" s="19"/>
      <c r="M234" s="154"/>
    </row>
    <row r="235" spans="1:13" ht="36.75" customHeight="1" x14ac:dyDescent="0.25">
      <c r="A235" s="20" t="s">
        <v>136</v>
      </c>
      <c r="B235" s="14" t="s">
        <v>536</v>
      </c>
      <c r="C235" s="59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  <c r="K235" s="33">
        <f t="shared" si="13"/>
        <v>0</v>
      </c>
      <c r="L235" s="19"/>
      <c r="M235" s="154"/>
    </row>
    <row r="236" spans="1:13" ht="36" customHeight="1" x14ac:dyDescent="0.25">
      <c r="A236" s="20" t="s">
        <v>138</v>
      </c>
      <c r="B236" s="14" t="s">
        <v>537</v>
      </c>
      <c r="C236" s="59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  <c r="K236" s="33">
        <f t="shared" si="13"/>
        <v>0</v>
      </c>
      <c r="L236" s="19"/>
      <c r="M236" s="154"/>
    </row>
    <row r="242" spans="6:9" x14ac:dyDescent="0.25">
      <c r="F242" s="154"/>
      <c r="G242" s="154"/>
      <c r="H242" s="154"/>
      <c r="I242" s="154"/>
    </row>
    <row r="243" spans="6:9" x14ac:dyDescent="0.25">
      <c r="F243" s="154"/>
      <c r="G243" s="154"/>
      <c r="H243" s="154"/>
      <c r="I243" s="154"/>
    </row>
    <row r="244" spans="6:9" x14ac:dyDescent="0.25">
      <c r="F244" s="154"/>
      <c r="G244" s="154"/>
      <c r="H244" s="154"/>
      <c r="I244" s="154"/>
    </row>
    <row r="245" spans="6:9" x14ac:dyDescent="0.25">
      <c r="F245" s="154"/>
    </row>
    <row r="246" spans="6:9" x14ac:dyDescent="0.25">
      <c r="F246" s="154"/>
      <c r="G246" s="154"/>
      <c r="H246" s="154"/>
      <c r="I246" s="154"/>
    </row>
  </sheetData>
  <protectedRanges>
    <protectedRange sqref="E111" name="Range18"/>
    <protectedRange sqref="F225 F217:F218 F222 D216:J216 D224:J224 D221:J221 D214:J214" name="Range15"/>
    <protectedRange sqref="D181:F181 D183:F183 D193:F193 D188:F188 D179:F179" name="Range13"/>
    <protectedRange sqref="E153 E157 E148 E159:E160 D150:F150 D152:F152 D156:F156 D147:F147" name="Range11"/>
    <protectedRange sqref="D117:E117 E120:E123 E125:E127 D119:E119 D124:F124 D128:F128" name="Range9"/>
    <protectedRange sqref="E97 E101 D105:F105 D103:F103 D99:F99 D95:F95" name="Range7"/>
    <protectedRange sqref="E81 E73:E74 D80:F80 D68:F68 D78:F78" name="Range5"/>
    <protectedRange sqref="E49 E33:F33 D37 D35:F35 D46:F46 D32:F32" name="Range3"/>
    <protectedRange sqref="E27 D24:F24 D29:F29 D18:F18 D20:F20 D22:F22" name="Range1"/>
    <protectedRange sqref="E52 E56:E57 D61:F61 D64:F64 D51:F51 E54" name="Range4"/>
    <protectedRange sqref="E89:E91 E85:E86 D93:F93 D88:F88 D84:F84" name="Range6"/>
    <protectedRange sqref="E106:E107 E115 E110 D113:E113 D109:F109" name="Range8"/>
    <protectedRange sqref="E129:E133 E138:E139 E142 D137:F137 D141:F141 D135:F135" name="Range10"/>
    <protectedRange sqref="E170 E163 E177 E166:E167 D172:F172 D165:F165 D169:F169 D175:J175 D162:F162" name="Range12"/>
    <protectedRange sqref="F200:F203 F210:F212 D205:F205 D199:F199 D208:F208" name="Range14"/>
    <protectedRange sqref="F226:F227 F233:F236 F230 D229:J229 D232:F232" name="Range16"/>
    <protectedRange sqref="E30" name="Range17"/>
    <protectedRange sqref="F206" name="Range21"/>
  </protectedRanges>
  <mergeCells count="16"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  <mergeCell ref="G1:J1"/>
    <mergeCell ref="G7:J7"/>
    <mergeCell ref="G2:J2"/>
    <mergeCell ref="G3:J3"/>
    <mergeCell ref="G4:J4"/>
    <mergeCell ref="G5:J5"/>
    <mergeCell ref="G6:J6"/>
  </mergeCells>
  <pageMargins left="0.95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9"/>
  <sheetViews>
    <sheetView topLeftCell="A5" workbookViewId="0">
      <selection activeCell="Q30" sqref="Q30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2.7109375" style="94" customWidth="1"/>
    <col min="4" max="4" width="11.7109375" style="94" customWidth="1"/>
    <col min="5" max="5" width="12.42578125" style="94" customWidth="1"/>
    <col min="6" max="9" width="12.7109375" style="94" customWidth="1"/>
    <col min="10" max="16384" width="9.140625" style="94"/>
  </cols>
  <sheetData>
    <row r="1" spans="1:9" s="90" customFormat="1" ht="13.5" customHeight="1" x14ac:dyDescent="0.25">
      <c r="A1" s="92"/>
      <c r="C1" s="92"/>
      <c r="D1" s="139"/>
      <c r="E1" s="140"/>
      <c r="F1" s="253" t="s">
        <v>866</v>
      </c>
      <c r="G1" s="253"/>
      <c r="H1" s="253"/>
      <c r="I1" s="253"/>
    </row>
    <row r="2" spans="1:9" s="90" customFormat="1" ht="13.5" customHeight="1" x14ac:dyDescent="0.25">
      <c r="A2" s="92"/>
      <c r="C2" s="92"/>
      <c r="D2" s="139"/>
      <c r="E2" s="140"/>
      <c r="F2" s="254" t="s">
        <v>602</v>
      </c>
      <c r="G2" s="254"/>
      <c r="H2" s="254"/>
      <c r="I2" s="254"/>
    </row>
    <row r="3" spans="1:9" s="90" customFormat="1" ht="13.5" customHeight="1" x14ac:dyDescent="0.25">
      <c r="A3" s="92"/>
      <c r="C3" s="92"/>
      <c r="D3" s="139"/>
      <c r="E3" s="140"/>
      <c r="F3" s="254" t="s">
        <v>862</v>
      </c>
      <c r="G3" s="254"/>
      <c r="H3" s="254"/>
      <c r="I3" s="254"/>
    </row>
    <row r="4" spans="1:9" s="90" customFormat="1" ht="27" customHeight="1" x14ac:dyDescent="0.25">
      <c r="A4" s="92"/>
      <c r="C4" s="92"/>
      <c r="D4" s="139"/>
      <c r="E4" s="140"/>
      <c r="F4" s="255" t="s">
        <v>864</v>
      </c>
      <c r="G4" s="255"/>
      <c r="H4" s="255"/>
      <c r="I4" s="255"/>
    </row>
    <row r="5" spans="1:9" s="90" customFormat="1" ht="13.5" customHeight="1" x14ac:dyDescent="0.25">
      <c r="A5" s="92"/>
      <c r="C5" s="92"/>
      <c r="D5" s="139"/>
      <c r="E5" s="140"/>
      <c r="F5" s="254"/>
      <c r="G5" s="254"/>
      <c r="H5" s="254"/>
      <c r="I5" s="254"/>
    </row>
    <row r="6" spans="1:9" s="90" customFormat="1" ht="13.5" customHeight="1" x14ac:dyDescent="0.25">
      <c r="A6" s="92"/>
      <c r="C6" s="92"/>
      <c r="D6" s="139"/>
      <c r="E6" s="140"/>
      <c r="F6" s="254"/>
      <c r="G6" s="254"/>
      <c r="H6" s="254"/>
      <c r="I6" s="254"/>
    </row>
    <row r="7" spans="1:9" s="90" customFormat="1" ht="13.5" customHeight="1" x14ac:dyDescent="0.25">
      <c r="A7" s="92"/>
      <c r="C7" s="92"/>
      <c r="D7" s="139"/>
      <c r="E7" s="140"/>
      <c r="F7" s="255"/>
      <c r="G7" s="255"/>
      <c r="H7" s="255"/>
      <c r="I7" s="255"/>
    </row>
    <row r="8" spans="1:9" ht="13.5" x14ac:dyDescent="0.25">
      <c r="E8" s="273"/>
      <c r="F8" s="273"/>
      <c r="G8" s="273"/>
      <c r="H8" s="273"/>
      <c r="I8" s="273"/>
    </row>
    <row r="9" spans="1:9" ht="16.5" x14ac:dyDescent="0.3">
      <c r="A9" s="274" t="s">
        <v>757</v>
      </c>
      <c r="B9" s="274"/>
      <c r="C9" s="274"/>
      <c r="D9" s="274"/>
      <c r="E9" s="274"/>
      <c r="F9" s="274"/>
      <c r="G9" s="274"/>
      <c r="H9" s="274"/>
      <c r="I9" s="274"/>
    </row>
    <row r="10" spans="1:9" ht="42" customHeight="1" x14ac:dyDescent="0.2">
      <c r="A10" s="275" t="s">
        <v>758</v>
      </c>
      <c r="B10" s="275"/>
      <c r="C10" s="275"/>
      <c r="D10" s="275"/>
      <c r="E10" s="275"/>
      <c r="F10" s="275"/>
      <c r="G10" s="275"/>
      <c r="H10" s="275"/>
      <c r="I10" s="275"/>
    </row>
    <row r="11" spans="1:9" ht="30" customHeight="1" thickBot="1" x14ac:dyDescent="0.35">
      <c r="A11" s="2"/>
      <c r="B11" s="96"/>
      <c r="C11" s="96"/>
      <c r="D11" s="260" t="s">
        <v>754</v>
      </c>
      <c r="E11" s="260"/>
    </row>
    <row r="12" spans="1:9" ht="13.5" customHeight="1" thickBot="1" x14ac:dyDescent="0.35">
      <c r="A12" s="261" t="s">
        <v>759</v>
      </c>
      <c r="B12" s="264"/>
      <c r="C12" s="267" t="s">
        <v>698</v>
      </c>
      <c r="D12" s="267"/>
      <c r="E12" s="268"/>
      <c r="F12" s="269" t="s">
        <v>369</v>
      </c>
      <c r="G12" s="270"/>
      <c r="H12" s="270"/>
      <c r="I12" s="271"/>
    </row>
    <row r="13" spans="1:9" ht="30" customHeight="1" thickBot="1" x14ac:dyDescent="0.35">
      <c r="A13" s="262"/>
      <c r="B13" s="265"/>
      <c r="C13" s="98" t="s">
        <v>367</v>
      </c>
      <c r="D13" s="272" t="s">
        <v>760</v>
      </c>
      <c r="E13" s="268"/>
      <c r="F13" s="99" t="s">
        <v>188</v>
      </c>
      <c r="G13" s="99" t="s">
        <v>189</v>
      </c>
      <c r="H13" s="99" t="s">
        <v>190</v>
      </c>
      <c r="I13" s="99" t="s">
        <v>191</v>
      </c>
    </row>
    <row r="14" spans="1:9" ht="39.75" customHeight="1" thickBot="1" x14ac:dyDescent="0.35">
      <c r="A14" s="263"/>
      <c r="B14" s="266"/>
      <c r="C14" s="101" t="s">
        <v>761</v>
      </c>
      <c r="D14" s="102" t="s">
        <v>150</v>
      </c>
      <c r="E14" s="102" t="s">
        <v>151</v>
      </c>
      <c r="F14" s="97">
        <v>7</v>
      </c>
      <c r="G14" s="69">
        <v>8</v>
      </c>
      <c r="H14" s="69">
        <v>9</v>
      </c>
      <c r="I14" s="69">
        <v>10</v>
      </c>
    </row>
    <row r="15" spans="1:9" ht="20.25" customHeight="1" thickBot="1" x14ac:dyDescent="0.3">
      <c r="A15" s="103">
        <v>1</v>
      </c>
      <c r="B15" s="103">
        <v>2</v>
      </c>
      <c r="C15" s="100">
        <v>3</v>
      </c>
      <c r="D15" s="104">
        <v>4</v>
      </c>
      <c r="E15" s="105">
        <v>5</v>
      </c>
      <c r="F15" s="12"/>
      <c r="G15" s="12"/>
      <c r="H15" s="12"/>
      <c r="I15" s="12"/>
    </row>
    <row r="16" spans="1:9" ht="41.25" customHeight="1" thickBot="1" x14ac:dyDescent="0.35">
      <c r="A16" s="106">
        <v>8000</v>
      </c>
      <c r="B16" s="107" t="s">
        <v>762</v>
      </c>
      <c r="C16" s="108">
        <f>+'1. Ekamutner'!D16-'4.Gorcarakan ev tntesagitakan'!G15</f>
        <v>-317481.60810000077</v>
      </c>
      <c r="D16" s="108">
        <f>+'1. Ekamutner'!E16-'4.Gorcarakan ev tntesagitakan'!H15</f>
        <v>-148485.50900000054</v>
      </c>
      <c r="E16" s="108">
        <f>+'1. Ekamutner'!F16-'4.Gorcarakan ev tntesagitakan'!I15</f>
        <v>-168996.09909999999</v>
      </c>
      <c r="F16" s="108">
        <f>+'1. Ekamutner'!G16-'4.Gorcarakan ev tntesagitakan'!J15</f>
        <v>-317481.60809999984</v>
      </c>
      <c r="G16" s="108">
        <f>+'1. Ekamutner'!H16-'4.Gorcarakan ev tntesagitakan'!K15</f>
        <v>-317481.60809999472</v>
      </c>
      <c r="H16" s="108">
        <f>+'1. Ekamutner'!I16-'4.Gorcarakan ev tntesagitakan'!L15</f>
        <v>-317481.60810000077</v>
      </c>
      <c r="I16" s="108">
        <f>+'1. Ekamutner'!J16-'4.Gorcarakan ev tntesagitakan'!M15</f>
        <v>-317481.60810000077</v>
      </c>
    </row>
    <row r="21" spans="2:5" x14ac:dyDescent="0.2">
      <c r="B21" s="109"/>
      <c r="C21" s="110"/>
      <c r="D21" s="110"/>
      <c r="E21" s="110"/>
    </row>
    <row r="22" spans="2:5" x14ac:dyDescent="0.2">
      <c r="B22" s="109"/>
      <c r="C22" s="110"/>
      <c r="D22" s="110"/>
      <c r="E22" s="110"/>
    </row>
    <row r="23" spans="2:5" x14ac:dyDescent="0.2">
      <c r="B23" s="109"/>
      <c r="C23" s="110"/>
      <c r="D23" s="110"/>
      <c r="E23" s="110"/>
    </row>
    <row r="24" spans="2:5" x14ac:dyDescent="0.2">
      <c r="B24" s="111"/>
      <c r="C24" s="112"/>
      <c r="D24" s="112"/>
      <c r="E24" s="112"/>
    </row>
    <row r="25" spans="2:5" x14ac:dyDescent="0.2">
      <c r="B25" s="111"/>
      <c r="C25" s="112"/>
      <c r="D25" s="112"/>
      <c r="E25" s="112"/>
    </row>
    <row r="26" spans="2:5" x14ac:dyDescent="0.2">
      <c r="B26" s="111"/>
      <c r="C26" s="112"/>
      <c r="D26" s="112"/>
      <c r="E26" s="112"/>
    </row>
    <row r="40" spans="1:2" x14ac:dyDescent="0.2">
      <c r="A40" s="113"/>
      <c r="B40" s="114"/>
    </row>
    <row r="41" spans="1:2" x14ac:dyDescent="0.2">
      <c r="A41" s="113"/>
      <c r="B41" s="115"/>
    </row>
    <row r="42" spans="1:2" x14ac:dyDescent="0.2">
      <c r="A42" s="113"/>
      <c r="B42" s="114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9"/>
  <sheetViews>
    <sheetView workbookViewId="0">
      <selection activeCell="M18" sqref="M18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2" width="9.140625" style="116"/>
    <col min="13" max="13" width="10.140625" style="116" bestFit="1" customWidth="1"/>
    <col min="14" max="16384" width="9.140625" style="116"/>
  </cols>
  <sheetData>
    <row r="1" spans="1:218" s="90" customFormat="1" ht="13.5" x14ac:dyDescent="0.25">
      <c r="A1" s="92"/>
      <c r="C1" s="92"/>
      <c r="D1" s="139"/>
      <c r="E1" s="140"/>
      <c r="F1" s="140"/>
      <c r="G1" s="253" t="s">
        <v>865</v>
      </c>
      <c r="H1" s="253"/>
      <c r="I1" s="253"/>
      <c r="J1" s="253"/>
    </row>
    <row r="2" spans="1:218" s="90" customFormat="1" ht="13.5" x14ac:dyDescent="0.25">
      <c r="A2" s="92"/>
      <c r="C2" s="92"/>
      <c r="D2" s="139"/>
      <c r="E2" s="140"/>
      <c r="F2" s="140"/>
      <c r="G2" s="254" t="s">
        <v>602</v>
      </c>
      <c r="H2" s="254"/>
      <c r="I2" s="254"/>
      <c r="J2" s="254"/>
    </row>
    <row r="3" spans="1:218" s="90" customFormat="1" ht="13.5" x14ac:dyDescent="0.25">
      <c r="A3" s="92"/>
      <c r="C3" s="92"/>
      <c r="D3" s="139"/>
      <c r="E3" s="140"/>
      <c r="F3" s="140"/>
      <c r="G3" s="254" t="s">
        <v>862</v>
      </c>
      <c r="H3" s="254"/>
      <c r="I3" s="254"/>
      <c r="J3" s="254"/>
    </row>
    <row r="4" spans="1:218" s="90" customFormat="1" ht="13.5" x14ac:dyDescent="0.25">
      <c r="A4" s="92"/>
      <c r="C4" s="92"/>
      <c r="D4" s="139"/>
      <c r="E4" s="140"/>
      <c r="F4" s="140"/>
      <c r="G4" s="255" t="s">
        <v>864</v>
      </c>
      <c r="H4" s="255"/>
      <c r="I4" s="255"/>
      <c r="J4" s="255"/>
    </row>
    <row r="5" spans="1:218" s="90" customFormat="1" ht="13.5" x14ac:dyDescent="0.25">
      <c r="A5" s="92"/>
      <c r="C5" s="92"/>
      <c r="D5" s="139"/>
      <c r="E5" s="140"/>
      <c r="F5" s="140"/>
      <c r="G5" s="254"/>
      <c r="H5" s="254"/>
      <c r="I5" s="254"/>
      <c r="J5" s="254"/>
    </row>
    <row r="6" spans="1:218" s="90" customFormat="1" ht="13.5" x14ac:dyDescent="0.25">
      <c r="A6" s="92"/>
      <c r="C6" s="92"/>
      <c r="D6" s="139"/>
      <c r="E6" s="140"/>
      <c r="F6" s="140"/>
      <c r="G6" s="254"/>
      <c r="H6" s="254"/>
      <c r="I6" s="254"/>
      <c r="J6" s="254"/>
    </row>
    <row r="7" spans="1:218" s="90" customFormat="1" ht="13.5" x14ac:dyDescent="0.25">
      <c r="A7" s="92"/>
      <c r="C7" s="92"/>
      <c r="D7" s="139"/>
      <c r="E7" s="140"/>
      <c r="F7" s="140"/>
      <c r="G7" s="255"/>
      <c r="H7" s="255"/>
      <c r="I7" s="255"/>
      <c r="J7" s="255"/>
    </row>
    <row r="8" spans="1:218" x14ac:dyDescent="0.3">
      <c r="E8" s="273"/>
      <c r="F8" s="273"/>
      <c r="G8" s="273"/>
      <c r="H8" s="273"/>
      <c r="I8" s="273"/>
      <c r="J8" s="117"/>
    </row>
    <row r="9" spans="1:218" x14ac:dyDescent="0.3">
      <c r="E9" s="95"/>
      <c r="F9" s="95"/>
      <c r="G9" s="95"/>
      <c r="H9" s="95"/>
      <c r="I9" s="95"/>
      <c r="J9" s="117"/>
    </row>
    <row r="10" spans="1:218" x14ac:dyDescent="0.3">
      <c r="A10" s="274" t="s">
        <v>763</v>
      </c>
      <c r="B10" s="274"/>
      <c r="C10" s="274"/>
      <c r="D10" s="274"/>
      <c r="E10" s="274"/>
      <c r="F10" s="274"/>
      <c r="G10" s="274"/>
      <c r="H10" s="274"/>
      <c r="I10" s="274"/>
      <c r="J10" s="274"/>
    </row>
    <row r="11" spans="1:218" ht="16.5" customHeight="1" x14ac:dyDescent="0.3">
      <c r="A11" s="276" t="s">
        <v>764</v>
      </c>
      <c r="B11" s="276"/>
      <c r="C11" s="276"/>
      <c r="D11" s="276"/>
      <c r="E11" s="276"/>
      <c r="F11" s="276"/>
      <c r="G11" s="276"/>
      <c r="H11" s="276"/>
      <c r="I11" s="276"/>
      <c r="J11" s="276"/>
    </row>
    <row r="12" spans="1:218" ht="33" x14ac:dyDescent="0.3">
      <c r="A12" s="118" t="s">
        <v>765</v>
      </c>
      <c r="B12" s="119" t="s">
        <v>374</v>
      </c>
      <c r="C12" s="120"/>
      <c r="D12" s="277" t="s">
        <v>370</v>
      </c>
      <c r="E12" s="279" t="s">
        <v>766</v>
      </c>
      <c r="F12" s="280"/>
      <c r="G12" s="269" t="s">
        <v>767</v>
      </c>
      <c r="H12" s="270"/>
      <c r="I12" s="270"/>
      <c r="J12" s="27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</row>
    <row r="13" spans="1:218" ht="49.5" x14ac:dyDescent="0.3">
      <c r="A13" s="120"/>
      <c r="B13" s="119" t="s">
        <v>768</v>
      </c>
      <c r="C13" s="122" t="s">
        <v>769</v>
      </c>
      <c r="D13" s="278"/>
      <c r="E13" s="123" t="s">
        <v>770</v>
      </c>
      <c r="F13" s="123" t="s">
        <v>372</v>
      </c>
      <c r="G13" s="99" t="s">
        <v>188</v>
      </c>
      <c r="H13" s="99" t="s">
        <v>189</v>
      </c>
      <c r="I13" s="99" t="s">
        <v>190</v>
      </c>
      <c r="J13" s="99" t="s">
        <v>191</v>
      </c>
    </row>
    <row r="14" spans="1:218" ht="17.25" thickBot="1" x14ac:dyDescent="0.35">
      <c r="A14" s="124">
        <v>1</v>
      </c>
      <c r="B14" s="125">
        <v>2</v>
      </c>
      <c r="C14" s="124">
        <v>3</v>
      </c>
      <c r="D14" s="126">
        <v>4</v>
      </c>
      <c r="E14" s="126">
        <v>5</v>
      </c>
      <c r="F14" s="126">
        <v>6</v>
      </c>
      <c r="G14" s="127">
        <v>7</v>
      </c>
      <c r="H14" s="128">
        <v>8</v>
      </c>
      <c r="I14" s="128">
        <v>9</v>
      </c>
      <c r="J14" s="128">
        <v>10</v>
      </c>
    </row>
    <row r="15" spans="1:218" ht="33" x14ac:dyDescent="0.3">
      <c r="A15" s="129">
        <v>8010</v>
      </c>
      <c r="B15" s="130" t="s">
        <v>771</v>
      </c>
      <c r="C15" s="131"/>
      <c r="D15" s="158">
        <f>SUM(E15:F15)</f>
        <v>317481.60810000001</v>
      </c>
      <c r="E15" s="158">
        <f>SUM(E17+E72)</f>
        <v>148485.50900000002</v>
      </c>
      <c r="F15" s="159">
        <f>SUM(F17+F72)</f>
        <v>168996.09909999999</v>
      </c>
      <c r="G15" s="159">
        <f t="shared" ref="G15:J15" si="0">SUM(G17+G72)</f>
        <v>317481.60810000001</v>
      </c>
      <c r="H15" s="159">
        <f t="shared" si="0"/>
        <v>317481.60810000001</v>
      </c>
      <c r="I15" s="159">
        <f t="shared" si="0"/>
        <v>317481.60810000001</v>
      </c>
      <c r="J15" s="159">
        <f t="shared" si="0"/>
        <v>317481.60810000001</v>
      </c>
    </row>
    <row r="16" spans="1:218" x14ac:dyDescent="0.3">
      <c r="A16" s="129"/>
      <c r="B16" s="130" t="s">
        <v>154</v>
      </c>
      <c r="C16" s="129"/>
      <c r="D16" s="160"/>
      <c r="E16" s="161"/>
      <c r="F16" s="162"/>
      <c r="G16" s="162"/>
      <c r="H16" s="162"/>
      <c r="I16" s="162"/>
      <c r="J16" s="162"/>
    </row>
    <row r="17" spans="1:10" ht="33" x14ac:dyDescent="0.3">
      <c r="A17" s="129">
        <v>8100</v>
      </c>
      <c r="B17" s="130" t="s">
        <v>772</v>
      </c>
      <c r="C17" s="129"/>
      <c r="D17" s="163">
        <f>SUM(D19,D47)</f>
        <v>317481.60810000001</v>
      </c>
      <c r="E17" s="163">
        <f>SUM(E19,E47)</f>
        <v>148485.50900000002</v>
      </c>
      <c r="F17" s="164">
        <f>SUM(F19,F47)</f>
        <v>168996.09909999999</v>
      </c>
      <c r="G17" s="164">
        <f t="shared" ref="G17:J17" si="1">SUM(G19,G47)</f>
        <v>317481.60810000001</v>
      </c>
      <c r="H17" s="164">
        <f t="shared" si="1"/>
        <v>317481.60810000001</v>
      </c>
      <c r="I17" s="164">
        <f t="shared" si="1"/>
        <v>317481.60810000001</v>
      </c>
      <c r="J17" s="164">
        <f t="shared" si="1"/>
        <v>317481.60810000001</v>
      </c>
    </row>
    <row r="18" spans="1:10" x14ac:dyDescent="0.3">
      <c r="A18" s="129"/>
      <c r="B18" s="133" t="s">
        <v>154</v>
      </c>
      <c r="C18" s="129"/>
      <c r="D18" s="163"/>
      <c r="E18" s="163"/>
      <c r="F18" s="164"/>
      <c r="G18" s="164"/>
      <c r="H18" s="164"/>
      <c r="I18" s="164"/>
      <c r="J18" s="164"/>
    </row>
    <row r="19" spans="1:10" x14ac:dyDescent="0.3">
      <c r="A19" s="129">
        <v>8110</v>
      </c>
      <c r="B19" s="134" t="s">
        <v>773</v>
      </c>
      <c r="C19" s="129"/>
      <c r="D19" s="163">
        <f>SUM(D21:D25)</f>
        <v>0</v>
      </c>
      <c r="E19" s="163">
        <f>SUM(E21:E25)</f>
        <v>0</v>
      </c>
      <c r="F19" s="164">
        <f>SUM(F21:F25)</f>
        <v>0</v>
      </c>
      <c r="G19" s="164">
        <f t="shared" ref="G19:J19" si="2">SUM(G21:G25)</f>
        <v>0</v>
      </c>
      <c r="H19" s="164">
        <f t="shared" si="2"/>
        <v>0</v>
      </c>
      <c r="I19" s="164">
        <f t="shared" si="2"/>
        <v>0</v>
      </c>
      <c r="J19" s="164">
        <f t="shared" si="2"/>
        <v>0</v>
      </c>
    </row>
    <row r="20" spans="1:10" x14ac:dyDescent="0.3">
      <c r="A20" s="129"/>
      <c r="B20" s="130" t="s">
        <v>154</v>
      </c>
      <c r="C20" s="129"/>
      <c r="D20" s="165"/>
      <c r="E20" s="165"/>
      <c r="F20" s="165"/>
      <c r="G20" s="165"/>
      <c r="H20" s="165"/>
      <c r="I20" s="165"/>
      <c r="J20" s="165"/>
    </row>
    <row r="21" spans="1:10" ht="33" x14ac:dyDescent="0.3">
      <c r="A21" s="129">
        <v>8111</v>
      </c>
      <c r="B21" s="130" t="s">
        <v>774</v>
      </c>
      <c r="C21" s="129"/>
      <c r="D21" s="163">
        <f>SUM(D23:D24)</f>
        <v>0</v>
      </c>
      <c r="E21" s="166" t="s">
        <v>775</v>
      </c>
      <c r="F21" s="164">
        <f>SUM(F23:F24)</f>
        <v>0</v>
      </c>
      <c r="G21" s="164">
        <f t="shared" ref="G21:J21" si="3">SUM(G23:G24)</f>
        <v>0</v>
      </c>
      <c r="H21" s="164">
        <f t="shared" si="3"/>
        <v>0</v>
      </c>
      <c r="I21" s="164">
        <f t="shared" si="3"/>
        <v>0</v>
      </c>
      <c r="J21" s="164">
        <f t="shared" si="3"/>
        <v>0</v>
      </c>
    </row>
    <row r="22" spans="1:10" x14ac:dyDescent="0.3">
      <c r="A22" s="129"/>
      <c r="B22" s="130" t="s">
        <v>452</v>
      </c>
      <c r="C22" s="129"/>
      <c r="D22" s="163"/>
      <c r="E22" s="166"/>
      <c r="F22" s="167"/>
      <c r="G22" s="167"/>
      <c r="H22" s="167"/>
      <c r="I22" s="167"/>
      <c r="J22" s="167"/>
    </row>
    <row r="23" spans="1:10" ht="17.25" thickBot="1" x14ac:dyDescent="0.35">
      <c r="A23" s="129">
        <v>8112</v>
      </c>
      <c r="B23" s="136" t="s">
        <v>776</v>
      </c>
      <c r="C23" s="137" t="s">
        <v>777</v>
      </c>
      <c r="D23" s="168">
        <f>SUM(E23:F23)</f>
        <v>0</v>
      </c>
      <c r="E23" s="166" t="s">
        <v>775</v>
      </c>
      <c r="F23" s="167"/>
      <c r="G23" s="167"/>
      <c r="H23" s="167"/>
      <c r="I23" s="167"/>
      <c r="J23" s="167"/>
    </row>
    <row r="24" spans="1:10" ht="17.25" thickBot="1" x14ac:dyDescent="0.35">
      <c r="A24" s="129">
        <v>8113</v>
      </c>
      <c r="B24" s="136" t="s">
        <v>778</v>
      </c>
      <c r="C24" s="137" t="s">
        <v>779</v>
      </c>
      <c r="D24" s="168">
        <f>SUM(E24:F24)</f>
        <v>0</v>
      </c>
      <c r="E24" s="166" t="s">
        <v>775</v>
      </c>
      <c r="F24" s="167"/>
      <c r="G24" s="167"/>
      <c r="H24" s="167"/>
      <c r="I24" s="167"/>
      <c r="J24" s="167"/>
    </row>
    <row r="25" spans="1:10" ht="33" x14ac:dyDescent="0.3">
      <c r="A25" s="129">
        <v>8120</v>
      </c>
      <c r="B25" s="130" t="s">
        <v>780</v>
      </c>
      <c r="C25" s="137"/>
      <c r="D25" s="163">
        <f>SUM(D27,D37)</f>
        <v>0</v>
      </c>
      <c r="E25" s="163">
        <f>SUM(E27,E37)</f>
        <v>0</v>
      </c>
      <c r="F25" s="164">
        <f>SUM(F27,F37)</f>
        <v>0</v>
      </c>
      <c r="G25" s="164">
        <f t="shared" ref="G25:J25" si="4">SUM(G27,G37)</f>
        <v>0</v>
      </c>
      <c r="H25" s="164">
        <f t="shared" si="4"/>
        <v>0</v>
      </c>
      <c r="I25" s="164">
        <f t="shared" si="4"/>
        <v>0</v>
      </c>
      <c r="J25" s="164">
        <f t="shared" si="4"/>
        <v>0</v>
      </c>
    </row>
    <row r="26" spans="1:10" x14ac:dyDescent="0.3">
      <c r="A26" s="129"/>
      <c r="B26" s="130" t="s">
        <v>154</v>
      </c>
      <c r="C26" s="137"/>
      <c r="D26" s="163"/>
      <c r="E26" s="166"/>
      <c r="F26" s="167"/>
      <c r="G26" s="167"/>
      <c r="H26" s="167"/>
      <c r="I26" s="167"/>
      <c r="J26" s="167"/>
    </row>
    <row r="27" spans="1:10" x14ac:dyDescent="0.3">
      <c r="A27" s="129">
        <v>8121</v>
      </c>
      <c r="B27" s="130" t="s">
        <v>781</v>
      </c>
      <c r="C27" s="137"/>
      <c r="D27" s="163">
        <f>SUM(D29,D33)</f>
        <v>0</v>
      </c>
      <c r="E27" s="166" t="s">
        <v>775</v>
      </c>
      <c r="F27" s="164">
        <f>SUM(F29,F33)</f>
        <v>0</v>
      </c>
      <c r="G27" s="164">
        <f t="shared" ref="G27:J27" si="5">SUM(G29,G33)</f>
        <v>0</v>
      </c>
      <c r="H27" s="164">
        <f t="shared" si="5"/>
        <v>0</v>
      </c>
      <c r="I27" s="164">
        <f t="shared" si="5"/>
        <v>0</v>
      </c>
      <c r="J27" s="164">
        <f t="shared" si="5"/>
        <v>0</v>
      </c>
    </row>
    <row r="28" spans="1:10" x14ac:dyDescent="0.3">
      <c r="A28" s="129"/>
      <c r="B28" s="130" t="s">
        <v>452</v>
      </c>
      <c r="C28" s="137"/>
      <c r="D28" s="163"/>
      <c r="E28" s="166"/>
      <c r="F28" s="167"/>
      <c r="G28" s="167"/>
      <c r="H28" s="167"/>
      <c r="I28" s="167"/>
      <c r="J28" s="167"/>
    </row>
    <row r="29" spans="1:10" x14ac:dyDescent="0.3">
      <c r="A29" s="129">
        <v>8122</v>
      </c>
      <c r="B29" s="134" t="s">
        <v>782</v>
      </c>
      <c r="C29" s="137" t="s">
        <v>783</v>
      </c>
      <c r="D29" s="163">
        <f>SUM(D31:D32)</f>
        <v>0</v>
      </c>
      <c r="E29" s="166" t="s">
        <v>775</v>
      </c>
      <c r="F29" s="164">
        <f>SUM(F31:F32)</f>
        <v>0</v>
      </c>
      <c r="G29" s="164">
        <f t="shared" ref="G29:J29" si="6">SUM(G31:G32)</f>
        <v>0</v>
      </c>
      <c r="H29" s="164">
        <f t="shared" si="6"/>
        <v>0</v>
      </c>
      <c r="I29" s="164">
        <f t="shared" si="6"/>
        <v>0</v>
      </c>
      <c r="J29" s="164">
        <f t="shared" si="6"/>
        <v>0</v>
      </c>
    </row>
    <row r="30" spans="1:10" x14ac:dyDescent="0.3">
      <c r="A30" s="129"/>
      <c r="B30" s="134" t="s">
        <v>452</v>
      </c>
      <c r="C30" s="137"/>
      <c r="D30" s="163"/>
      <c r="E30" s="166"/>
      <c r="F30" s="167"/>
      <c r="G30" s="167"/>
      <c r="H30" s="167"/>
      <c r="I30" s="167"/>
      <c r="J30" s="167"/>
    </row>
    <row r="31" spans="1:10" ht="17.25" thickBot="1" x14ac:dyDescent="0.35">
      <c r="A31" s="129">
        <v>8123</v>
      </c>
      <c r="B31" s="134" t="s">
        <v>784</v>
      </c>
      <c r="C31" s="137"/>
      <c r="D31" s="168">
        <f>SUM(E31:F31)</f>
        <v>0</v>
      </c>
      <c r="E31" s="166" t="s">
        <v>775</v>
      </c>
      <c r="F31" s="167"/>
      <c r="G31" s="167"/>
      <c r="H31" s="167"/>
      <c r="I31" s="167"/>
      <c r="J31" s="167"/>
    </row>
    <row r="32" spans="1:10" ht="17.25" thickBot="1" x14ac:dyDescent="0.35">
      <c r="A32" s="129">
        <v>8124</v>
      </c>
      <c r="B32" s="134" t="s">
        <v>785</v>
      </c>
      <c r="C32" s="137"/>
      <c r="D32" s="168">
        <f>SUM(E32:F32)</f>
        <v>0</v>
      </c>
      <c r="E32" s="166" t="s">
        <v>775</v>
      </c>
      <c r="F32" s="167"/>
      <c r="G32" s="167"/>
      <c r="H32" s="167"/>
      <c r="I32" s="167"/>
      <c r="J32" s="167"/>
    </row>
    <row r="33" spans="1:10" x14ac:dyDescent="0.3">
      <c r="A33" s="129">
        <v>8130</v>
      </c>
      <c r="B33" s="134" t="s">
        <v>786</v>
      </c>
      <c r="C33" s="137" t="s">
        <v>787</v>
      </c>
      <c r="D33" s="163">
        <f>SUM(D35:D36)</f>
        <v>0</v>
      </c>
      <c r="E33" s="166" t="s">
        <v>775</v>
      </c>
      <c r="F33" s="164">
        <f>SUM(F35:F36)</f>
        <v>0</v>
      </c>
      <c r="G33" s="164">
        <f t="shared" ref="G33:J33" si="7">SUM(G35:G36)</f>
        <v>0</v>
      </c>
      <c r="H33" s="164">
        <f t="shared" si="7"/>
        <v>0</v>
      </c>
      <c r="I33" s="164">
        <f t="shared" si="7"/>
        <v>0</v>
      </c>
      <c r="J33" s="164">
        <f t="shared" si="7"/>
        <v>0</v>
      </c>
    </row>
    <row r="34" spans="1:10" x14ac:dyDescent="0.3">
      <c r="A34" s="129"/>
      <c r="B34" s="134" t="s">
        <v>452</v>
      </c>
      <c r="C34" s="137"/>
      <c r="D34" s="163"/>
      <c r="E34" s="166"/>
      <c r="F34" s="167"/>
      <c r="G34" s="167"/>
      <c r="H34" s="167"/>
      <c r="I34" s="167"/>
      <c r="J34" s="167"/>
    </row>
    <row r="35" spans="1:10" ht="17.25" thickBot="1" x14ac:dyDescent="0.35">
      <c r="A35" s="129">
        <v>8131</v>
      </c>
      <c r="B35" s="134" t="s">
        <v>788</v>
      </c>
      <c r="C35" s="137"/>
      <c r="D35" s="168">
        <f>SUM(E35:F35)</f>
        <v>0</v>
      </c>
      <c r="E35" s="166" t="s">
        <v>775</v>
      </c>
      <c r="F35" s="167"/>
      <c r="G35" s="167"/>
      <c r="H35" s="167"/>
      <c r="I35" s="167"/>
      <c r="J35" s="167"/>
    </row>
    <row r="36" spans="1:10" ht="17.25" thickBot="1" x14ac:dyDescent="0.35">
      <c r="A36" s="129">
        <v>8132</v>
      </c>
      <c r="B36" s="134" t="s">
        <v>789</v>
      </c>
      <c r="C36" s="137"/>
      <c r="D36" s="168">
        <f>SUM(E36:F36)</f>
        <v>0</v>
      </c>
      <c r="E36" s="166" t="s">
        <v>775</v>
      </c>
      <c r="F36" s="167"/>
      <c r="G36" s="167"/>
      <c r="H36" s="167"/>
      <c r="I36" s="167"/>
      <c r="J36" s="167"/>
    </row>
    <row r="37" spans="1:10" x14ac:dyDescent="0.3">
      <c r="A37" s="129">
        <v>8140</v>
      </c>
      <c r="B37" s="134" t="s">
        <v>790</v>
      </c>
      <c r="C37" s="137"/>
      <c r="D37" s="163">
        <f>SUM(D39,D43)</f>
        <v>0</v>
      </c>
      <c r="E37" s="163">
        <f>SUM(E39,E43)</f>
        <v>0</v>
      </c>
      <c r="F37" s="164">
        <f>SUM(F39,F43)</f>
        <v>0</v>
      </c>
      <c r="G37" s="164">
        <f t="shared" ref="G37:J37" si="8">SUM(G39,G43)</f>
        <v>0</v>
      </c>
      <c r="H37" s="164">
        <f t="shared" si="8"/>
        <v>0</v>
      </c>
      <c r="I37" s="164">
        <f t="shared" si="8"/>
        <v>0</v>
      </c>
      <c r="J37" s="164">
        <f t="shared" si="8"/>
        <v>0</v>
      </c>
    </row>
    <row r="38" spans="1:10" ht="17.25" thickBot="1" x14ac:dyDescent="0.35">
      <c r="A38" s="129"/>
      <c r="B38" s="130" t="s">
        <v>452</v>
      </c>
      <c r="C38" s="137"/>
      <c r="D38" s="163"/>
      <c r="E38" s="166"/>
      <c r="F38" s="167"/>
      <c r="G38" s="167"/>
      <c r="H38" s="167"/>
      <c r="I38" s="167"/>
      <c r="J38" s="167"/>
    </row>
    <row r="39" spans="1:10" x14ac:dyDescent="0.3">
      <c r="A39" s="129">
        <v>8141</v>
      </c>
      <c r="B39" s="134" t="s">
        <v>791</v>
      </c>
      <c r="C39" s="137" t="s">
        <v>783</v>
      </c>
      <c r="D39" s="169">
        <f>SUM(D41:D42)</f>
        <v>0</v>
      </c>
      <c r="E39" s="169">
        <f>SUM(E41:E42)</f>
        <v>0</v>
      </c>
      <c r="F39" s="170">
        <f>SUM(F41:F42)</f>
        <v>0</v>
      </c>
      <c r="G39" s="170">
        <f t="shared" ref="G39:J39" si="9">SUM(G41:G42)</f>
        <v>0</v>
      </c>
      <c r="H39" s="170">
        <f t="shared" si="9"/>
        <v>0</v>
      </c>
      <c r="I39" s="170">
        <f t="shared" si="9"/>
        <v>0</v>
      </c>
      <c r="J39" s="170">
        <f t="shared" si="9"/>
        <v>0</v>
      </c>
    </row>
    <row r="40" spans="1:10" x14ac:dyDescent="0.3">
      <c r="A40" s="129"/>
      <c r="B40" s="134" t="s">
        <v>452</v>
      </c>
      <c r="C40" s="137"/>
      <c r="D40" s="163"/>
      <c r="E40" s="166"/>
      <c r="F40" s="167"/>
      <c r="G40" s="167"/>
      <c r="H40" s="167"/>
      <c r="I40" s="167"/>
      <c r="J40" s="167"/>
    </row>
    <row r="41" spans="1:10" ht="17.25" thickBot="1" x14ac:dyDescent="0.35">
      <c r="A41" s="129">
        <v>8142</v>
      </c>
      <c r="B41" s="134" t="s">
        <v>792</v>
      </c>
      <c r="C41" s="137"/>
      <c r="D41" s="168">
        <f>SUM(E41:F41)</f>
        <v>0</v>
      </c>
      <c r="E41" s="166"/>
      <c r="F41" s="167" t="s">
        <v>0</v>
      </c>
      <c r="G41" s="166"/>
      <c r="H41" s="166"/>
      <c r="I41" s="166"/>
      <c r="J41" s="166"/>
    </row>
    <row r="42" spans="1:10" ht="17.25" thickBot="1" x14ac:dyDescent="0.35">
      <c r="A42" s="129">
        <v>8143</v>
      </c>
      <c r="B42" s="134" t="s">
        <v>793</v>
      </c>
      <c r="C42" s="137"/>
      <c r="D42" s="168">
        <f>SUM(E42:F42)</f>
        <v>0</v>
      </c>
      <c r="E42" s="171"/>
      <c r="F42" s="172" t="s">
        <v>0</v>
      </c>
      <c r="G42" s="171"/>
      <c r="H42" s="171"/>
      <c r="I42" s="171"/>
      <c r="J42" s="171"/>
    </row>
    <row r="43" spans="1:10" x14ac:dyDescent="0.3">
      <c r="A43" s="129">
        <v>8150</v>
      </c>
      <c r="B43" s="134" t="s">
        <v>794</v>
      </c>
      <c r="C43" s="137" t="s">
        <v>787</v>
      </c>
      <c r="D43" s="169">
        <f>SUM(D45:D46)</f>
        <v>0</v>
      </c>
      <c r="E43" s="169">
        <f>SUM(E45:E46)</f>
        <v>0</v>
      </c>
      <c r="F43" s="170">
        <f>SUM(F45:F46)</f>
        <v>0</v>
      </c>
      <c r="G43" s="169">
        <f>SUM(G45:G46)</f>
        <v>0</v>
      </c>
      <c r="H43" s="169">
        <f t="shared" ref="H43:J43" si="10">SUM(H45:H46)</f>
        <v>0</v>
      </c>
      <c r="I43" s="169">
        <f t="shared" si="10"/>
        <v>0</v>
      </c>
      <c r="J43" s="169">
        <f t="shared" si="10"/>
        <v>0</v>
      </c>
    </row>
    <row r="44" spans="1:10" x14ac:dyDescent="0.3">
      <c r="A44" s="129"/>
      <c r="B44" s="134" t="s">
        <v>452</v>
      </c>
      <c r="C44" s="137"/>
      <c r="D44" s="163"/>
      <c r="E44" s="166"/>
      <c r="F44" s="167"/>
      <c r="G44" s="166"/>
      <c r="H44" s="166"/>
      <c r="I44" s="166"/>
      <c r="J44" s="166"/>
    </row>
    <row r="45" spans="1:10" ht="17.25" thickBot="1" x14ac:dyDescent="0.35">
      <c r="A45" s="129">
        <v>8151</v>
      </c>
      <c r="B45" s="134" t="s">
        <v>788</v>
      </c>
      <c r="C45" s="137"/>
      <c r="D45" s="168">
        <f>SUM(E45:F45)</f>
        <v>0</v>
      </c>
      <c r="E45" s="166"/>
      <c r="F45" s="167" t="s">
        <v>0</v>
      </c>
      <c r="G45" s="166"/>
      <c r="H45" s="166"/>
      <c r="I45" s="166"/>
      <c r="J45" s="166"/>
    </row>
    <row r="46" spans="1:10" ht="17.25" thickBot="1" x14ac:dyDescent="0.35">
      <c r="A46" s="129">
        <v>8152</v>
      </c>
      <c r="B46" s="134" t="s">
        <v>795</v>
      </c>
      <c r="C46" s="137"/>
      <c r="D46" s="168">
        <f>SUM(E46:F46)</f>
        <v>0</v>
      </c>
      <c r="E46" s="171"/>
      <c r="F46" s="172" t="s">
        <v>0</v>
      </c>
      <c r="G46" s="171"/>
      <c r="H46" s="171"/>
      <c r="I46" s="171"/>
      <c r="J46" s="171"/>
    </row>
    <row r="47" spans="1:10" ht="50.25" thickBot="1" x14ac:dyDescent="0.35">
      <c r="A47" s="129">
        <v>8160</v>
      </c>
      <c r="B47" s="134" t="s">
        <v>796</v>
      </c>
      <c r="C47" s="137"/>
      <c r="D47" s="173">
        <f>SUM(D49,D54,D58,D70)</f>
        <v>317481.60810000001</v>
      </c>
      <c r="E47" s="173">
        <f>SUM(E49,E54,E58,E70)</f>
        <v>148485.50900000002</v>
      </c>
      <c r="F47" s="174">
        <f>SUM(F49,F54,F58,F70)</f>
        <v>168996.09909999999</v>
      </c>
      <c r="G47" s="173">
        <f>SUM(G49,G54,G58,G70)</f>
        <v>317481.60810000001</v>
      </c>
      <c r="H47" s="173">
        <f t="shared" ref="H47:J47" si="11">SUM(H49,H54,H58,H70)</f>
        <v>317481.60810000001</v>
      </c>
      <c r="I47" s="173">
        <f t="shared" si="11"/>
        <v>317481.60810000001</v>
      </c>
      <c r="J47" s="173">
        <f t="shared" si="11"/>
        <v>317481.60810000001</v>
      </c>
    </row>
    <row r="48" spans="1:10" ht="17.25" thickBot="1" x14ac:dyDescent="0.35">
      <c r="A48" s="129"/>
      <c r="B48" s="133" t="s">
        <v>154</v>
      </c>
      <c r="C48" s="137"/>
      <c r="D48" s="175"/>
      <c r="E48" s="176"/>
      <c r="F48" s="177"/>
      <c r="G48" s="176"/>
      <c r="H48" s="176"/>
      <c r="I48" s="176"/>
      <c r="J48" s="176"/>
    </row>
    <row r="49" spans="1:13" ht="17.25" thickBot="1" x14ac:dyDescent="0.35">
      <c r="A49" s="129">
        <v>8161</v>
      </c>
      <c r="B49" s="130" t="s">
        <v>797</v>
      </c>
      <c r="C49" s="137"/>
      <c r="D49" s="178">
        <f>SUM(D51:D53)</f>
        <v>0</v>
      </c>
      <c r="E49" s="179" t="s">
        <v>775</v>
      </c>
      <c r="F49" s="180">
        <f>SUM(F51:F53)</f>
        <v>0</v>
      </c>
      <c r="G49" s="180">
        <f t="shared" ref="G49:J49" si="12">SUM(G51:G53)</f>
        <v>0</v>
      </c>
      <c r="H49" s="180">
        <f t="shared" si="12"/>
        <v>0</v>
      </c>
      <c r="I49" s="180">
        <f t="shared" si="12"/>
        <v>0</v>
      </c>
      <c r="J49" s="180">
        <f t="shared" si="12"/>
        <v>0</v>
      </c>
    </row>
    <row r="50" spans="1:13" x14ac:dyDescent="0.3">
      <c r="A50" s="129"/>
      <c r="B50" s="130" t="s">
        <v>452</v>
      </c>
      <c r="C50" s="137"/>
      <c r="D50" s="160"/>
      <c r="E50" s="181"/>
      <c r="F50" s="162"/>
      <c r="G50" s="162"/>
      <c r="H50" s="162"/>
      <c r="I50" s="162"/>
      <c r="J50" s="162"/>
    </row>
    <row r="51" spans="1:13" ht="50.25" thickBot="1" x14ac:dyDescent="0.35">
      <c r="A51" s="129">
        <v>8162</v>
      </c>
      <c r="B51" s="134" t="s">
        <v>798</v>
      </c>
      <c r="C51" s="137" t="s">
        <v>799</v>
      </c>
      <c r="D51" s="168"/>
      <c r="E51" s="166" t="s">
        <v>775</v>
      </c>
      <c r="F51" s="167"/>
      <c r="G51" s="167"/>
      <c r="H51" s="167"/>
      <c r="I51" s="167"/>
      <c r="J51" s="167"/>
    </row>
    <row r="52" spans="1:13" ht="99.75" thickBot="1" x14ac:dyDescent="0.35">
      <c r="A52" s="129">
        <v>8163</v>
      </c>
      <c r="B52" s="134" t="s">
        <v>800</v>
      </c>
      <c r="C52" s="137" t="s">
        <v>799</v>
      </c>
      <c r="D52" s="168">
        <f>SUM(E52:F52)</f>
        <v>0</v>
      </c>
      <c r="E52" s="179" t="s">
        <v>775</v>
      </c>
      <c r="F52" s="182"/>
      <c r="G52" s="182"/>
      <c r="H52" s="182"/>
      <c r="I52" s="182"/>
      <c r="J52" s="182"/>
    </row>
    <row r="53" spans="1:13" ht="33.75" thickBot="1" x14ac:dyDescent="0.35">
      <c r="A53" s="129">
        <v>8164</v>
      </c>
      <c r="B53" s="134" t="s">
        <v>801</v>
      </c>
      <c r="C53" s="137" t="s">
        <v>802</v>
      </c>
      <c r="D53" s="168">
        <f>SUM(E53:F53)</f>
        <v>0</v>
      </c>
      <c r="E53" s="171" t="s">
        <v>775</v>
      </c>
      <c r="F53" s="172"/>
      <c r="G53" s="172"/>
      <c r="H53" s="172"/>
      <c r="I53" s="172"/>
      <c r="J53" s="172"/>
    </row>
    <row r="54" spans="1:13" ht="17.25" thickBot="1" x14ac:dyDescent="0.35">
      <c r="A54" s="129">
        <v>8170</v>
      </c>
      <c r="B54" s="130" t="s">
        <v>803</v>
      </c>
      <c r="C54" s="137"/>
      <c r="D54" s="183">
        <f>SUM(D56:D57)</f>
        <v>0</v>
      </c>
      <c r="E54" s="183">
        <f>SUM(E56:E57)</f>
        <v>0</v>
      </c>
      <c r="F54" s="184">
        <f>SUM(F56:F57)</f>
        <v>0</v>
      </c>
      <c r="G54" s="184">
        <f t="shared" ref="G54:J54" si="13">SUM(G56:G57)</f>
        <v>0</v>
      </c>
      <c r="H54" s="184">
        <f t="shared" si="13"/>
        <v>0</v>
      </c>
      <c r="I54" s="184">
        <f t="shared" si="13"/>
        <v>0</v>
      </c>
      <c r="J54" s="184">
        <f t="shared" si="13"/>
        <v>0</v>
      </c>
    </row>
    <row r="55" spans="1:13" x14ac:dyDescent="0.3">
      <c r="A55" s="129"/>
      <c r="B55" s="130" t="s">
        <v>452</v>
      </c>
      <c r="C55" s="137"/>
      <c r="D55" s="185"/>
      <c r="E55" s="181"/>
      <c r="F55" s="186"/>
      <c r="G55" s="186"/>
      <c r="H55" s="186"/>
      <c r="I55" s="186"/>
      <c r="J55" s="186"/>
    </row>
    <row r="56" spans="1:13" ht="33.75" thickBot="1" x14ac:dyDescent="0.35">
      <c r="A56" s="129">
        <v>8171</v>
      </c>
      <c r="B56" s="134" t="s">
        <v>804</v>
      </c>
      <c r="C56" s="137" t="s">
        <v>805</v>
      </c>
      <c r="D56" s="168">
        <f>SUM(E56:F56)</f>
        <v>0</v>
      </c>
      <c r="E56" s="187"/>
      <c r="F56" s="167"/>
      <c r="G56" s="167"/>
      <c r="H56" s="167"/>
      <c r="I56" s="167"/>
      <c r="J56" s="167"/>
    </row>
    <row r="57" spans="1:13" ht="17.25" thickBot="1" x14ac:dyDescent="0.35">
      <c r="A57" s="129">
        <v>8172</v>
      </c>
      <c r="B57" s="136" t="s">
        <v>806</v>
      </c>
      <c r="C57" s="137" t="s">
        <v>807</v>
      </c>
      <c r="D57" s="168">
        <f>SUM(E57:F57)</f>
        <v>0</v>
      </c>
      <c r="E57" s="188"/>
      <c r="F57" s="189"/>
      <c r="G57" s="189"/>
      <c r="H57" s="189"/>
      <c r="I57" s="189"/>
      <c r="J57" s="189"/>
    </row>
    <row r="58" spans="1:13" ht="33.75" thickBot="1" x14ac:dyDescent="0.35">
      <c r="A58" s="129">
        <v>8190</v>
      </c>
      <c r="B58" s="130" t="s">
        <v>808</v>
      </c>
      <c r="C58" s="129"/>
      <c r="D58" s="155">
        <f>SUM(E58:F58)</f>
        <v>317481.60810000001</v>
      </c>
      <c r="E58" s="178">
        <f>SUM(E60+E64-E63)</f>
        <v>148485.50900000002</v>
      </c>
      <c r="F58" s="180">
        <f>SUM(F64)</f>
        <v>168996.09909999999</v>
      </c>
      <c r="G58" s="180">
        <f>+G62+G63+G66</f>
        <v>317481.60810000001</v>
      </c>
      <c r="H58" s="180">
        <f t="shared" ref="H58:J58" si="14">+H62+H63+H66</f>
        <v>317481.60810000001</v>
      </c>
      <c r="I58" s="180">
        <f t="shared" si="14"/>
        <v>317481.60810000001</v>
      </c>
      <c r="J58" s="180">
        <f t="shared" si="14"/>
        <v>317481.60810000001</v>
      </c>
    </row>
    <row r="59" spans="1:13" x14ac:dyDescent="0.3">
      <c r="A59" s="129"/>
      <c r="B59" s="130" t="s">
        <v>376</v>
      </c>
      <c r="C59" s="129"/>
      <c r="D59" s="190"/>
      <c r="E59" s="191"/>
      <c r="F59" s="192"/>
      <c r="G59" s="192"/>
      <c r="H59" s="192"/>
      <c r="I59" s="192"/>
      <c r="J59" s="192"/>
    </row>
    <row r="60" spans="1:13" ht="33" x14ac:dyDescent="0.3">
      <c r="A60" s="129">
        <v>8191</v>
      </c>
      <c r="B60" s="130" t="s">
        <v>809</v>
      </c>
      <c r="C60" s="129">
        <v>9320</v>
      </c>
      <c r="D60" s="193">
        <f>SUM(E60:F60)</f>
        <v>250610.16460000002</v>
      </c>
      <c r="E60" s="194">
        <v>250610.16460000002</v>
      </c>
      <c r="F60" s="195" t="s">
        <v>0</v>
      </c>
      <c r="G60" s="194">
        <v>250610.16460000002</v>
      </c>
      <c r="H60" s="194">
        <v>250610.16460000002</v>
      </c>
      <c r="I60" s="194">
        <v>250610.16460000002</v>
      </c>
      <c r="J60" s="194">
        <v>250610.16460000002</v>
      </c>
    </row>
    <row r="61" spans="1:13" x14ac:dyDescent="0.3">
      <c r="A61" s="129"/>
      <c r="B61" s="130" t="s">
        <v>156</v>
      </c>
      <c r="C61" s="129"/>
      <c r="D61" s="163"/>
      <c r="E61" s="187"/>
      <c r="F61" s="167"/>
      <c r="G61" s="187"/>
      <c r="H61" s="187"/>
      <c r="I61" s="187"/>
      <c r="J61" s="187"/>
    </row>
    <row r="62" spans="1:13" ht="66" x14ac:dyDescent="0.3">
      <c r="A62" s="129">
        <v>8192</v>
      </c>
      <c r="B62" s="134" t="s">
        <v>810</v>
      </c>
      <c r="C62" s="129"/>
      <c r="D62" s="193">
        <f>SUM(E62:F62)</f>
        <v>148485.50900000002</v>
      </c>
      <c r="E62" s="187">
        <v>148485.50900000002</v>
      </c>
      <c r="F62" s="196" t="s">
        <v>775</v>
      </c>
      <c r="G62" s="187">
        <v>148485.50900000002</v>
      </c>
      <c r="H62" s="187">
        <v>148485.50900000002</v>
      </c>
      <c r="I62" s="187">
        <v>148485.50900000002</v>
      </c>
      <c r="J62" s="187">
        <v>148485.50900000002</v>
      </c>
      <c r="M62" s="218"/>
    </row>
    <row r="63" spans="1:13" ht="33.75" thickBot="1" x14ac:dyDescent="0.35">
      <c r="A63" s="129">
        <v>8193</v>
      </c>
      <c r="B63" s="134" t="s">
        <v>811</v>
      </c>
      <c r="C63" s="129"/>
      <c r="D63" s="163">
        <f>D60-D62</f>
        <v>102124.6556</v>
      </c>
      <c r="E63" s="163">
        <f>E60-E62</f>
        <v>102124.6556</v>
      </c>
      <c r="F63" s="196" t="s">
        <v>0</v>
      </c>
      <c r="G63" s="163">
        <f t="shared" ref="G63:J63" si="15">G60-G62</f>
        <v>102124.6556</v>
      </c>
      <c r="H63" s="163">
        <f t="shared" si="15"/>
        <v>102124.6556</v>
      </c>
      <c r="I63" s="163">
        <f t="shared" si="15"/>
        <v>102124.6556</v>
      </c>
      <c r="J63" s="163">
        <f t="shared" si="15"/>
        <v>102124.6556</v>
      </c>
      <c r="M63" s="218"/>
    </row>
    <row r="64" spans="1:13" ht="33.75" thickBot="1" x14ac:dyDescent="0.35">
      <c r="A64" s="129">
        <v>8194</v>
      </c>
      <c r="B64" s="130" t="s">
        <v>812</v>
      </c>
      <c r="C64" s="135">
        <v>9330</v>
      </c>
      <c r="D64" s="178">
        <f>D66+D67</f>
        <v>168996.09909999999</v>
      </c>
      <c r="E64" s="178">
        <f>SUM(E66,E67)</f>
        <v>0</v>
      </c>
      <c r="F64" s="180">
        <f>F66+F67</f>
        <v>168996.09909999999</v>
      </c>
      <c r="G64" s="178">
        <f t="shared" ref="G64:J64" si="16">SUM(G66,G67)</f>
        <v>168996.09909999999</v>
      </c>
      <c r="H64" s="178">
        <f t="shared" si="16"/>
        <v>168996.09909999999</v>
      </c>
      <c r="I64" s="178">
        <f t="shared" si="16"/>
        <v>168996.09909999999</v>
      </c>
      <c r="J64" s="178">
        <f t="shared" si="16"/>
        <v>168996.09909999999</v>
      </c>
    </row>
    <row r="65" spans="1:10" x14ac:dyDescent="0.3">
      <c r="A65" s="129"/>
      <c r="B65" s="130" t="s">
        <v>156</v>
      </c>
      <c r="C65" s="135"/>
      <c r="D65" s="163"/>
      <c r="E65" s="166"/>
      <c r="F65" s="167"/>
      <c r="G65" s="166"/>
      <c r="H65" s="166"/>
      <c r="I65" s="166"/>
      <c r="J65" s="166"/>
    </row>
    <row r="66" spans="1:10" ht="50.25" thickBot="1" x14ac:dyDescent="0.35">
      <c r="A66" s="129">
        <v>8195</v>
      </c>
      <c r="B66" s="134" t="s">
        <v>813</v>
      </c>
      <c r="C66" s="135"/>
      <c r="D66" s="168">
        <f>F66</f>
        <v>66871.443499999994</v>
      </c>
      <c r="E66" s="166" t="s">
        <v>775</v>
      </c>
      <c r="F66" s="167">
        <v>66871.443499999994</v>
      </c>
      <c r="G66" s="167">
        <v>66871.443499999994</v>
      </c>
      <c r="H66" s="167">
        <v>66871.443499999994</v>
      </c>
      <c r="I66" s="167">
        <v>66871.443499999994</v>
      </c>
      <c r="J66" s="167">
        <v>66871.443499999994</v>
      </c>
    </row>
    <row r="67" spans="1:10" ht="50.25" thickBot="1" x14ac:dyDescent="0.35">
      <c r="A67" s="129">
        <v>8196</v>
      </c>
      <c r="B67" s="134" t="s">
        <v>814</v>
      </c>
      <c r="C67" s="135"/>
      <c r="D67" s="168">
        <f>F67</f>
        <v>102124.6556</v>
      </c>
      <c r="E67" s="166" t="s">
        <v>775</v>
      </c>
      <c r="F67" s="197">
        <v>102124.6556</v>
      </c>
      <c r="G67" s="197">
        <v>102124.6556</v>
      </c>
      <c r="H67" s="197">
        <v>102124.6556</v>
      </c>
      <c r="I67" s="197">
        <v>102124.6556</v>
      </c>
      <c r="J67" s="197">
        <v>102124.6556</v>
      </c>
    </row>
    <row r="68" spans="1:10" ht="33.75" thickBot="1" x14ac:dyDescent="0.35">
      <c r="A68" s="129">
        <v>8197</v>
      </c>
      <c r="B68" s="130" t="s">
        <v>815</v>
      </c>
      <c r="C68" s="135"/>
      <c r="D68" s="168" t="s">
        <v>0</v>
      </c>
      <c r="E68" s="198" t="s">
        <v>775</v>
      </c>
      <c r="F68" s="199" t="s">
        <v>0</v>
      </c>
      <c r="G68" s="132"/>
      <c r="H68" s="132"/>
      <c r="I68" s="132"/>
      <c r="J68" s="132"/>
    </row>
    <row r="69" spans="1:10" ht="50.25" thickBot="1" x14ac:dyDescent="0.35">
      <c r="A69" s="129">
        <v>8198</v>
      </c>
      <c r="B69" s="130" t="s">
        <v>816</v>
      </c>
      <c r="C69" s="135"/>
      <c r="D69" s="168">
        <f>SUM(E69:F69)</f>
        <v>0</v>
      </c>
      <c r="E69" s="166" t="s">
        <v>0</v>
      </c>
      <c r="F69" s="167"/>
      <c r="G69" s="132"/>
      <c r="H69" s="132"/>
      <c r="I69" s="132"/>
      <c r="J69" s="132"/>
    </row>
    <row r="70" spans="1:10" ht="66" x14ac:dyDescent="0.3">
      <c r="A70" s="129">
        <v>8199</v>
      </c>
      <c r="B70" s="130" t="s">
        <v>817</v>
      </c>
      <c r="C70" s="135"/>
      <c r="D70" s="165">
        <f>SUM(E70:F70)</f>
        <v>0</v>
      </c>
      <c r="E70" s="166"/>
      <c r="F70" s="167"/>
      <c r="G70" s="132"/>
      <c r="H70" s="132"/>
      <c r="I70" s="132"/>
      <c r="J70" s="132"/>
    </row>
    <row r="71" spans="1:10" ht="33" x14ac:dyDescent="0.3">
      <c r="A71" s="129" t="s">
        <v>818</v>
      </c>
      <c r="B71" s="134" t="s">
        <v>819</v>
      </c>
      <c r="C71" s="135"/>
      <c r="D71" s="165">
        <f>SUM(E71:F71)</f>
        <v>0</v>
      </c>
      <c r="E71" s="198"/>
      <c r="F71" s="167"/>
      <c r="G71" s="132"/>
      <c r="H71" s="132"/>
      <c r="I71" s="132"/>
      <c r="J71" s="132"/>
    </row>
    <row r="72" spans="1:10" x14ac:dyDescent="0.3">
      <c r="A72" s="129">
        <v>8200</v>
      </c>
      <c r="B72" s="130" t="s">
        <v>820</v>
      </c>
      <c r="C72" s="129"/>
      <c r="D72" s="163">
        <f>SUM(D74)</f>
        <v>0</v>
      </c>
      <c r="E72" s="163">
        <f>SUM(E74)</f>
        <v>0</v>
      </c>
      <c r="F72" s="164">
        <f>SUM(F74)</f>
        <v>0</v>
      </c>
      <c r="G72" s="164">
        <f t="shared" ref="G72:J72" si="17">SUM(G74)</f>
        <v>0</v>
      </c>
      <c r="H72" s="164">
        <f t="shared" si="17"/>
        <v>0</v>
      </c>
      <c r="I72" s="164">
        <f t="shared" si="17"/>
        <v>0</v>
      </c>
      <c r="J72" s="164">
        <f t="shared" si="17"/>
        <v>0</v>
      </c>
    </row>
    <row r="73" spans="1:10" x14ac:dyDescent="0.3">
      <c r="A73" s="129"/>
      <c r="B73" s="133" t="s">
        <v>154</v>
      </c>
      <c r="C73" s="129"/>
      <c r="D73" s="163"/>
      <c r="E73" s="187"/>
      <c r="F73" s="167"/>
      <c r="G73" s="167"/>
      <c r="H73" s="167"/>
      <c r="I73" s="167"/>
      <c r="J73" s="167"/>
    </row>
    <row r="74" spans="1:10" x14ac:dyDescent="0.3">
      <c r="A74" s="129">
        <v>8210</v>
      </c>
      <c r="B74" s="134" t="s">
        <v>821</v>
      </c>
      <c r="C74" s="129"/>
      <c r="D74" s="163">
        <f>SUM(D76,D80)</f>
        <v>0</v>
      </c>
      <c r="E74" s="163">
        <f>SUM(E76,E80)</f>
        <v>0</v>
      </c>
      <c r="F74" s="164">
        <f>SUM(F76,F80)</f>
        <v>0</v>
      </c>
      <c r="G74" s="164">
        <f t="shared" ref="G74:J74" si="18">SUM(G76,G80)</f>
        <v>0</v>
      </c>
      <c r="H74" s="164">
        <f t="shared" si="18"/>
        <v>0</v>
      </c>
      <c r="I74" s="164">
        <f t="shared" si="18"/>
        <v>0</v>
      </c>
      <c r="J74" s="164">
        <f t="shared" si="18"/>
        <v>0</v>
      </c>
    </row>
    <row r="75" spans="1:10" x14ac:dyDescent="0.3">
      <c r="A75" s="129"/>
      <c r="B75" s="134" t="s">
        <v>154</v>
      </c>
      <c r="C75" s="129"/>
      <c r="D75" s="163"/>
      <c r="E75" s="166"/>
      <c r="F75" s="167"/>
      <c r="G75" s="167"/>
      <c r="H75" s="167"/>
      <c r="I75" s="167"/>
      <c r="J75" s="167"/>
    </row>
    <row r="76" spans="1:10" ht="33" x14ac:dyDescent="0.3">
      <c r="A76" s="129">
        <v>8211</v>
      </c>
      <c r="B76" s="130" t="s">
        <v>774</v>
      </c>
      <c r="C76" s="129"/>
      <c r="D76" s="163">
        <f>SUM(D78:D79)</f>
        <v>0</v>
      </c>
      <c r="E76" s="166" t="s">
        <v>775</v>
      </c>
      <c r="F76" s="164">
        <f>SUM(F78:F79)</f>
        <v>0</v>
      </c>
      <c r="G76" s="164">
        <f t="shared" ref="G76:J76" si="19">SUM(G78:G79)</f>
        <v>0</v>
      </c>
      <c r="H76" s="164">
        <f t="shared" si="19"/>
        <v>0</v>
      </c>
      <c r="I76" s="164">
        <f t="shared" si="19"/>
        <v>0</v>
      </c>
      <c r="J76" s="164">
        <f t="shared" si="19"/>
        <v>0</v>
      </c>
    </row>
    <row r="77" spans="1:10" x14ac:dyDescent="0.3">
      <c r="A77" s="129"/>
      <c r="B77" s="130" t="s">
        <v>156</v>
      </c>
      <c r="C77" s="129"/>
      <c r="D77" s="163"/>
      <c r="E77" s="166"/>
      <c r="F77" s="167"/>
      <c r="G77" s="132"/>
      <c r="H77" s="132"/>
      <c r="I77" s="132"/>
      <c r="J77" s="132"/>
    </row>
    <row r="78" spans="1:10" ht="17.25" thickBot="1" x14ac:dyDescent="0.35">
      <c r="A78" s="129">
        <v>8212</v>
      </c>
      <c r="B78" s="136" t="s">
        <v>776</v>
      </c>
      <c r="C78" s="137" t="s">
        <v>822</v>
      </c>
      <c r="D78" s="168">
        <f>SUM(E78:F78)</f>
        <v>0</v>
      </c>
      <c r="E78" s="166" t="s">
        <v>775</v>
      </c>
      <c r="F78" s="167"/>
      <c r="G78" s="132"/>
      <c r="H78" s="132"/>
      <c r="I78" s="132"/>
      <c r="J78" s="132"/>
    </row>
    <row r="79" spans="1:10" ht="17.25" thickBot="1" x14ac:dyDescent="0.35">
      <c r="A79" s="129">
        <v>8213</v>
      </c>
      <c r="B79" s="136" t="s">
        <v>778</v>
      </c>
      <c r="C79" s="137" t="s">
        <v>823</v>
      </c>
      <c r="D79" s="168">
        <f>SUM(E79:F79)</f>
        <v>0</v>
      </c>
      <c r="E79" s="166" t="s">
        <v>775</v>
      </c>
      <c r="F79" s="167"/>
      <c r="G79" s="132"/>
      <c r="H79" s="132"/>
      <c r="I79" s="132"/>
      <c r="J79" s="132"/>
    </row>
    <row r="80" spans="1:10" ht="33" x14ac:dyDescent="0.3">
      <c r="A80" s="129">
        <v>8220</v>
      </c>
      <c r="B80" s="130" t="s">
        <v>824</v>
      </c>
      <c r="C80" s="129"/>
      <c r="D80" s="163">
        <f>SUM(D82,D86)</f>
        <v>0</v>
      </c>
      <c r="E80" s="163">
        <f>SUM(E82,E86)</f>
        <v>0</v>
      </c>
      <c r="F80" s="164">
        <f>SUM(F82,F86)</f>
        <v>0</v>
      </c>
      <c r="G80" s="164">
        <f t="shared" ref="G80:J80" si="20">SUM(G82,G86)</f>
        <v>0</v>
      </c>
      <c r="H80" s="164">
        <f t="shared" si="20"/>
        <v>0</v>
      </c>
      <c r="I80" s="164">
        <f t="shared" si="20"/>
        <v>0</v>
      </c>
      <c r="J80" s="164">
        <f t="shared" si="20"/>
        <v>0</v>
      </c>
    </row>
    <row r="81" spans="1:10" x14ac:dyDescent="0.3">
      <c r="A81" s="129"/>
      <c r="B81" s="130" t="s">
        <v>154</v>
      </c>
      <c r="C81" s="129"/>
      <c r="D81" s="163"/>
      <c r="E81" s="187"/>
      <c r="F81" s="167"/>
      <c r="G81" s="167"/>
      <c r="H81" s="167"/>
      <c r="I81" s="167"/>
      <c r="J81" s="167"/>
    </row>
    <row r="82" spans="1:10" x14ac:dyDescent="0.3">
      <c r="A82" s="129">
        <v>8221</v>
      </c>
      <c r="B82" s="130" t="s">
        <v>781</v>
      </c>
      <c r="C82" s="129"/>
      <c r="D82" s="163">
        <f>SUM(D84:D85)</f>
        <v>0</v>
      </c>
      <c r="E82" s="166" t="s">
        <v>775</v>
      </c>
      <c r="F82" s="164">
        <f>SUM(F84:F85)</f>
        <v>0</v>
      </c>
      <c r="G82" s="164">
        <f t="shared" ref="G82:J82" si="21">SUM(G84:G85)</f>
        <v>0</v>
      </c>
      <c r="H82" s="164">
        <f t="shared" si="21"/>
        <v>0</v>
      </c>
      <c r="I82" s="164">
        <f t="shared" si="21"/>
        <v>0</v>
      </c>
      <c r="J82" s="164">
        <f t="shared" si="21"/>
        <v>0</v>
      </c>
    </row>
    <row r="83" spans="1:10" x14ac:dyDescent="0.3">
      <c r="A83" s="129"/>
      <c r="B83" s="130" t="s">
        <v>452</v>
      </c>
      <c r="C83" s="129"/>
      <c r="D83" s="163"/>
      <c r="E83" s="166"/>
      <c r="F83" s="167"/>
      <c r="G83" s="132"/>
      <c r="H83" s="132"/>
      <c r="I83" s="132"/>
      <c r="J83" s="132"/>
    </row>
    <row r="84" spans="1:10" ht="17.25" thickBot="1" x14ac:dyDescent="0.35">
      <c r="A84" s="129">
        <v>8222</v>
      </c>
      <c r="B84" s="134" t="s">
        <v>782</v>
      </c>
      <c r="C84" s="137" t="s">
        <v>825</v>
      </c>
      <c r="D84" s="168">
        <f>SUM(E84:F84)</f>
        <v>0</v>
      </c>
      <c r="E84" s="166" t="s">
        <v>775</v>
      </c>
      <c r="F84" s="167"/>
      <c r="G84" s="132"/>
      <c r="H84" s="132"/>
      <c r="I84" s="132"/>
      <c r="J84" s="132"/>
    </row>
    <row r="85" spans="1:10" ht="17.25" thickBot="1" x14ac:dyDescent="0.35">
      <c r="A85" s="129">
        <v>8230</v>
      </c>
      <c r="B85" s="134" t="s">
        <v>786</v>
      </c>
      <c r="C85" s="137" t="s">
        <v>826</v>
      </c>
      <c r="D85" s="168">
        <f>SUM(E85:F85)</f>
        <v>0</v>
      </c>
      <c r="E85" s="166" t="s">
        <v>775</v>
      </c>
      <c r="F85" s="167"/>
      <c r="G85" s="132"/>
      <c r="H85" s="132"/>
      <c r="I85" s="132"/>
      <c r="J85" s="132"/>
    </row>
    <row r="86" spans="1:10" x14ac:dyDescent="0.3">
      <c r="A86" s="129">
        <v>8240</v>
      </c>
      <c r="B86" s="130" t="s">
        <v>790</v>
      </c>
      <c r="C86" s="129"/>
      <c r="D86" s="163">
        <f>SUM(D88:D89)</f>
        <v>0</v>
      </c>
      <c r="E86" s="163">
        <f>SUM(E88:E89)</f>
        <v>0</v>
      </c>
      <c r="F86" s="164">
        <f>SUM(F88:F89)</f>
        <v>0</v>
      </c>
      <c r="G86" s="164">
        <f t="shared" ref="G86:J86" si="22">SUM(G88:G89)</f>
        <v>0</v>
      </c>
      <c r="H86" s="164">
        <f t="shared" si="22"/>
        <v>0</v>
      </c>
      <c r="I86" s="164">
        <f t="shared" si="22"/>
        <v>0</v>
      </c>
      <c r="J86" s="164">
        <f t="shared" si="22"/>
        <v>0</v>
      </c>
    </row>
    <row r="87" spans="1:10" x14ac:dyDescent="0.3">
      <c r="A87" s="129"/>
      <c r="B87" s="130" t="s">
        <v>452</v>
      </c>
      <c r="C87" s="129"/>
      <c r="D87" s="163"/>
      <c r="E87" s="187"/>
      <c r="F87" s="167"/>
      <c r="G87" s="132"/>
      <c r="H87" s="132"/>
      <c r="I87" s="132"/>
      <c r="J87" s="132"/>
    </row>
    <row r="88" spans="1:10" ht="17.25" thickBot="1" x14ac:dyDescent="0.35">
      <c r="A88" s="129">
        <v>8241</v>
      </c>
      <c r="B88" s="134" t="s">
        <v>827</v>
      </c>
      <c r="C88" s="137" t="s">
        <v>825</v>
      </c>
      <c r="D88" s="168">
        <f>SUM(E88:F88)</f>
        <v>0</v>
      </c>
      <c r="E88" s="187"/>
      <c r="F88" s="167" t="s">
        <v>0</v>
      </c>
      <c r="G88" s="132"/>
      <c r="H88" s="132"/>
      <c r="I88" s="132"/>
      <c r="J88" s="132"/>
    </row>
    <row r="89" spans="1:10" ht="17.25" thickBot="1" x14ac:dyDescent="0.35">
      <c r="A89" s="129">
        <v>8250</v>
      </c>
      <c r="B89" s="134" t="s">
        <v>794</v>
      </c>
      <c r="C89" s="137" t="s">
        <v>826</v>
      </c>
      <c r="D89" s="168">
        <f>SUM(E89:F89)</f>
        <v>0</v>
      </c>
      <c r="E89" s="188"/>
      <c r="F89" s="189" t="s">
        <v>0</v>
      </c>
      <c r="G89" s="132"/>
      <c r="H89" s="132"/>
      <c r="I89" s="132"/>
      <c r="J89" s="132"/>
    </row>
  </sheetData>
  <protectedRanges>
    <protectedRange sqref="F79" name="Range23_1"/>
    <protectedRange sqref="F57:J57" name="Range21_1"/>
    <protectedRange sqref="E70:F71 F78:F79 F84:F85 E88:E89 D87:F87 D83:F83 D77:F77 D81:J81 D73:J73 D75:J75" name="Range5_1"/>
    <protectedRange sqref="E45:E46 D51 F35:J36 D38:J38 D40:J40 D34:J34 G41:J42 G44:J46 D48:J48 F51:J53 D50:J50 E41:E42 D44:F44" name="Range3_1"/>
    <protectedRange sqref="F23:J24 D26:J26 F31:J32 D30:J30 D28:J28 D22:J22 D18:J18 D16:J16" name="Range2_1"/>
    <protectedRange sqref="E56:J57 D59:J59 D55:J55 D61:F61 D65:J65 E60:E62 F66:F69 G66:J67 G60:J62" name="Range4_1"/>
    <protectedRange sqref="F56:J56" name="Range20_1"/>
    <protectedRange sqref="F51:J51" name="Range22_1"/>
    <protectedRange sqref="D20:J20" name="Range2_2_1"/>
  </protectedRanges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95" right="0.2" top="0.25" bottom="0.25" header="0" footer="0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6"/>
  <sheetViews>
    <sheetView tabSelected="1" zoomScaleSheetLayoutView="100" workbookViewId="0">
      <selection activeCell="J4" sqref="J4:M4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09" customWidth="1"/>
    <col min="6" max="6" width="5.85546875" style="2" customWidth="1"/>
    <col min="7" max="13" width="13.42578125" style="2" customWidth="1"/>
    <col min="14" max="14" width="9.140625" style="2"/>
    <col min="15" max="15" width="9.5703125" style="2" bestFit="1" customWidth="1"/>
    <col min="16" max="16" width="12.85546875" style="2" customWidth="1"/>
    <col min="17" max="17" width="9.42578125" style="2" bestFit="1" customWidth="1"/>
    <col min="18" max="21" width="9.140625" style="2"/>
    <col min="22" max="22" width="9.85546875" style="2" customWidth="1"/>
    <col min="23" max="16384" width="9.140625" style="2"/>
  </cols>
  <sheetData>
    <row r="1" spans="1:22" x14ac:dyDescent="0.25">
      <c r="J1" s="253"/>
      <c r="K1" s="253"/>
      <c r="L1" s="253"/>
      <c r="M1" s="253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54"/>
      <c r="K2" s="254"/>
      <c r="L2" s="254"/>
      <c r="M2" s="254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54"/>
      <c r="K3" s="254"/>
      <c r="L3" s="254"/>
      <c r="M3" s="254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55"/>
      <c r="K4" s="255"/>
      <c r="L4" s="255"/>
      <c r="M4" s="255"/>
    </row>
    <row r="5" spans="1:22" s="90" customFormat="1" ht="27" customHeight="1" x14ac:dyDescent="0.25">
      <c r="A5" s="92"/>
      <c r="C5" s="92"/>
      <c r="E5" s="92"/>
      <c r="F5" s="92"/>
      <c r="G5" s="200"/>
      <c r="H5" s="200"/>
      <c r="I5" s="200"/>
      <c r="J5" s="253" t="s">
        <v>870</v>
      </c>
      <c r="K5" s="253"/>
      <c r="L5" s="253"/>
      <c r="M5" s="253"/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54" t="s">
        <v>602</v>
      </c>
      <c r="K6" s="254"/>
      <c r="L6" s="254"/>
      <c r="M6" s="254"/>
    </row>
    <row r="7" spans="1:22" s="90" customFormat="1" ht="13.5" customHeight="1" x14ac:dyDescent="0.25">
      <c r="A7" s="92"/>
      <c r="C7" s="92"/>
      <c r="E7" s="92"/>
      <c r="F7" s="92"/>
      <c r="G7" s="210"/>
      <c r="H7" s="210"/>
      <c r="I7" s="210"/>
      <c r="J7" s="254" t="s">
        <v>862</v>
      </c>
      <c r="K7" s="254"/>
      <c r="L7" s="254"/>
      <c r="M7" s="254"/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55" t="s">
        <v>871</v>
      </c>
      <c r="K8" s="255"/>
      <c r="L8" s="255"/>
      <c r="M8" s="255"/>
    </row>
    <row r="9" spans="1:22" s="19" customFormat="1" ht="12.75" customHeight="1" x14ac:dyDescent="0.25">
      <c r="A9" s="17"/>
      <c r="B9" s="18"/>
      <c r="C9" s="17"/>
      <c r="E9" s="209"/>
      <c r="F9" s="17"/>
      <c r="G9" s="211"/>
      <c r="H9" s="211"/>
      <c r="I9" s="211"/>
      <c r="J9" s="211"/>
      <c r="K9" s="211"/>
      <c r="L9" s="211"/>
      <c r="M9" s="211"/>
    </row>
    <row r="10" spans="1:22" ht="20.25" x14ac:dyDescent="0.35">
      <c r="A10" s="63" t="s">
        <v>142</v>
      </c>
      <c r="E10" s="286" t="s">
        <v>637</v>
      </c>
      <c r="F10" s="286"/>
      <c r="G10" s="286"/>
      <c r="H10" s="214"/>
      <c r="J10" s="153"/>
      <c r="K10" s="153"/>
      <c r="L10" s="153"/>
      <c r="M10" s="153"/>
      <c r="P10" s="154">
        <f>+G15-'3.Tntesagitakan tsaxs'!D17</f>
        <v>0</v>
      </c>
      <c r="Q10" s="154">
        <f>+H15-'3.Tntesagitakan tsaxs'!E17</f>
        <v>0</v>
      </c>
      <c r="R10" s="154">
        <f>+I15-'3.Tntesagitakan tsaxs'!F17</f>
        <v>0</v>
      </c>
      <c r="S10" s="154">
        <f>+J15-'3.Tntesagitakan tsaxs'!G17</f>
        <v>0</v>
      </c>
      <c r="T10" s="154">
        <f>+K15-'3.Tntesagitakan tsaxs'!H17</f>
        <v>0</v>
      </c>
      <c r="U10" s="154">
        <f>+L15-'3.Tntesagitakan tsaxs'!I17</f>
        <v>0</v>
      </c>
      <c r="V10" s="154">
        <f>+M15-'3.Tntesagitakan tsaxs'!J17</f>
        <v>0</v>
      </c>
    </row>
    <row r="11" spans="1:22" ht="54" customHeight="1" x14ac:dyDescent="0.35">
      <c r="A11" s="287" t="s">
        <v>603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P11" s="154">
        <f>+G15-'2.Gorcarakan tsaxs'!F16</f>
        <v>0</v>
      </c>
      <c r="Q11" s="154">
        <f>+H15-'2.Gorcarakan tsaxs'!G16</f>
        <v>0</v>
      </c>
      <c r="R11" s="154">
        <f>+I15-'2.Gorcarakan tsaxs'!H16</f>
        <v>0</v>
      </c>
      <c r="S11" s="154">
        <f>+J15-'2.Gorcarakan tsaxs'!I16</f>
        <v>0</v>
      </c>
      <c r="T11" s="154">
        <f>+K15-'2.Gorcarakan tsaxs'!J16</f>
        <v>0</v>
      </c>
      <c r="U11" s="154">
        <f>+L15-'2.Gorcarakan tsaxs'!K16</f>
        <v>0</v>
      </c>
      <c r="V11" s="154">
        <f>+M15-'2.Gorcarakan tsaxs'!L16</f>
        <v>0</v>
      </c>
    </row>
    <row r="12" spans="1:22" ht="17.25" customHeight="1" x14ac:dyDescent="0.25">
      <c r="A12" s="281" t="s">
        <v>143</v>
      </c>
      <c r="B12" s="282" t="s">
        <v>144</v>
      </c>
      <c r="C12" s="289" t="s">
        <v>145</v>
      </c>
      <c r="D12" s="283" t="s">
        <v>146</v>
      </c>
      <c r="E12" s="284" t="s">
        <v>147</v>
      </c>
      <c r="F12" s="288" t="s">
        <v>148</v>
      </c>
      <c r="G12" s="290" t="s">
        <v>599</v>
      </c>
      <c r="H12" s="215" t="s">
        <v>149</v>
      </c>
      <c r="I12" s="216"/>
      <c r="J12" s="245" t="s">
        <v>369</v>
      </c>
      <c r="K12" s="246"/>
      <c r="L12" s="246"/>
      <c r="M12" s="247"/>
    </row>
    <row r="13" spans="1:22" ht="64.5" customHeight="1" x14ac:dyDescent="0.25">
      <c r="A13" s="281"/>
      <c r="B13" s="281"/>
      <c r="C13" s="281"/>
      <c r="D13" s="281"/>
      <c r="E13" s="285"/>
      <c r="F13" s="288"/>
      <c r="G13" s="291"/>
      <c r="H13" s="13" t="s">
        <v>150</v>
      </c>
      <c r="I13" s="13" t="s">
        <v>151</v>
      </c>
      <c r="J13" s="225" t="s">
        <v>188</v>
      </c>
      <c r="K13" s="225" t="s">
        <v>189</v>
      </c>
      <c r="L13" s="225" t="s">
        <v>190</v>
      </c>
      <c r="M13" s="225" t="s">
        <v>191</v>
      </c>
      <c r="P13" s="154">
        <f>+G15-'6.Havelurd '!D15-'1. Ekamutner'!D16</f>
        <v>0</v>
      </c>
      <c r="Q13" s="154">
        <f>+H15-'6.Havelurd '!E15-'1. Ekamutner'!E16</f>
        <v>0</v>
      </c>
      <c r="R13" s="154">
        <f>+I15-'6.Havelurd '!F15-'1. Ekamutner'!F16</f>
        <v>0</v>
      </c>
      <c r="S13" s="154">
        <f>+J15-'6.Havelurd '!G15-'1. Ekamutner'!G16</f>
        <v>0</v>
      </c>
      <c r="T13" s="154">
        <f>+K15-'6.Havelurd '!H15-'1. Ekamutner'!H16</f>
        <v>-5.1222741603851318E-9</v>
      </c>
      <c r="U13" s="154">
        <f>+L15-'6.Havelurd '!I15-'1. Ekamutner'!I16</f>
        <v>0</v>
      </c>
      <c r="V13" s="154">
        <f>+M15-'6.Havelurd '!J15-'1. Ekamutner'!J16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181</v>
      </c>
      <c r="F14" s="64"/>
      <c r="G14" s="64" t="s">
        <v>753</v>
      </c>
      <c r="H14" s="64">
        <v>7</v>
      </c>
      <c r="I14" s="64">
        <v>8</v>
      </c>
      <c r="J14" s="222">
        <v>7</v>
      </c>
      <c r="K14" s="223">
        <v>8</v>
      </c>
      <c r="L14" s="223">
        <v>9</v>
      </c>
      <c r="M14" s="223">
        <v>10</v>
      </c>
      <c r="P14" s="154"/>
      <c r="Q14" s="154"/>
      <c r="R14" s="154"/>
      <c r="S14" s="154"/>
      <c r="T14" s="154"/>
      <c r="U14" s="154"/>
      <c r="V14" s="154"/>
    </row>
    <row r="15" spans="1:22" ht="54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+G16+G130+G163+G219+G354+G410+G466+G540+G638+G707+G774</f>
        <v>7061362.3551000003</v>
      </c>
      <c r="H15" s="21">
        <f>+H16+H130+H163+H219+H354+H410+H466+H540+H638+H707+H774</f>
        <v>6013610.6690000007</v>
      </c>
      <c r="I15" s="21">
        <f>+I16+I130+I163+I219+I354+I410+I466+I540+I638+I707</f>
        <v>1810003.8600999999</v>
      </c>
      <c r="J15" s="21">
        <f>J16+J130+J163+J219+J354+J410+J466+J540+J638+J707</f>
        <v>2340167.222740869</v>
      </c>
      <c r="K15" s="21">
        <f>K16+K130+K163+K219+K354+K410+K466+K540+K638+K707</f>
        <v>3713677.8601886905</v>
      </c>
      <c r="L15" s="21">
        <f>L16+L130+L163+L219+L354+L410+L466+L540+L638+L707</f>
        <v>5523869.8522452153</v>
      </c>
      <c r="M15" s="21">
        <f>M16+M130+M163+M219+M354+M410+M466+M540+M638+M707</f>
        <v>7061362.3551000003</v>
      </c>
      <c r="P15" s="2">
        <v>7061362.3551000003</v>
      </c>
      <c r="Q15" s="2">
        <v>6013610.6690000007</v>
      </c>
      <c r="R15" s="2">
        <v>1810003.8600999999</v>
      </c>
      <c r="S15" s="2">
        <v>2340167.222740869</v>
      </c>
      <c r="T15" s="2">
        <v>3713677.8601886905</v>
      </c>
      <c r="U15" s="2">
        <v>5523869.8522452153</v>
      </c>
      <c r="V15" s="2">
        <v>7061362.3551000003</v>
      </c>
    </row>
    <row r="16" spans="1:22" ht="54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+G18+G68+G88+G94+G101+G114+G120</f>
        <v>1183585.659</v>
      </c>
      <c r="H16" s="21">
        <f>+H18+H68+H88+H94+H101+H114+H120</f>
        <v>1125177.2290000001</v>
      </c>
      <c r="I16" s="21">
        <f>+I18+I68+I88+I94+I101+I114+I120</f>
        <v>58408.43</v>
      </c>
      <c r="J16" s="21">
        <f>+J18+J66+J88+J94+J101+J114+J120</f>
        <v>334176.33785375505</v>
      </c>
      <c r="K16" s="21">
        <f>+K18+K66+K88+K94+K101+K114+K120</f>
        <v>645424.56216205552</v>
      </c>
      <c r="L16" s="21">
        <f>+L18+L66+L88+L94+L101+L114+L120</f>
        <v>910312.83968181792</v>
      </c>
      <c r="M16" s="21">
        <f>+M18+M66+M88+M94+M101+M114+M120</f>
        <v>1183585.659</v>
      </c>
      <c r="P16" s="154">
        <f>+G15-P15</f>
        <v>0</v>
      </c>
      <c r="Q16" s="154">
        <f t="shared" ref="Q16:V16" si="0">+H15-Q15</f>
        <v>0</v>
      </c>
      <c r="R16" s="154">
        <f t="shared" si="0"/>
        <v>0</v>
      </c>
      <c r="S16" s="154">
        <f t="shared" si="0"/>
        <v>0</v>
      </c>
      <c r="T16" s="154">
        <f t="shared" si="0"/>
        <v>0</v>
      </c>
      <c r="U16" s="154">
        <f t="shared" si="0"/>
        <v>0</v>
      </c>
      <c r="V16" s="154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54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G20+G51+G55</f>
        <v>901950.65899999999</v>
      </c>
      <c r="H18" s="21">
        <f t="shared" ref="H18:M18" si="1">H20+H51+H55</f>
        <v>859042.22900000005</v>
      </c>
      <c r="I18" s="21">
        <f t="shared" si="1"/>
        <v>42908.43</v>
      </c>
      <c r="J18" s="21">
        <f t="shared" si="1"/>
        <v>252875.32994861665</v>
      </c>
      <c r="K18" s="21">
        <f t="shared" si="1"/>
        <v>490902.21038339939</v>
      </c>
      <c r="L18" s="21">
        <f t="shared" si="1"/>
        <v>699369.53928656096</v>
      </c>
      <c r="M18" s="21">
        <f t="shared" si="1"/>
        <v>901950.65899999999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27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SUM(G21:G50)</f>
        <v>901950.65899999999</v>
      </c>
      <c r="H20" s="21">
        <f t="shared" ref="H20:M20" si="2">SUM(H21:H50)</f>
        <v>859042.22900000005</v>
      </c>
      <c r="I20" s="21">
        <f t="shared" si="2"/>
        <v>42908.43</v>
      </c>
      <c r="J20" s="21">
        <f t="shared" si="2"/>
        <v>252875.32994861665</v>
      </c>
      <c r="K20" s="21">
        <f t="shared" si="2"/>
        <v>490902.21038339939</v>
      </c>
      <c r="L20" s="21">
        <f t="shared" si="2"/>
        <v>699369.53928656096</v>
      </c>
      <c r="M20" s="21">
        <f t="shared" si="2"/>
        <v>901950.65899999999</v>
      </c>
    </row>
    <row r="21" spans="1:18" ht="27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584499.82900000003</v>
      </c>
      <c r="H21" s="21">
        <v>584499.82900000003</v>
      </c>
      <c r="I21" s="21"/>
      <c r="J21" s="146">
        <v>128888.579</v>
      </c>
      <c r="K21" s="146">
        <v>285044.26575889357</v>
      </c>
      <c r="L21" s="146">
        <v>437462.18754743051</v>
      </c>
      <c r="M21" s="146">
        <f t="shared" ref="M21:M48" si="3">+G21</f>
        <v>584499.82900000003</v>
      </c>
    </row>
    <row r="22" spans="1:18" ht="27" x14ac:dyDescent="0.25">
      <c r="A22" s="64"/>
      <c r="B22" s="64"/>
      <c r="C22" s="64"/>
      <c r="D22" s="64"/>
      <c r="E22" s="71" t="s">
        <v>859</v>
      </c>
      <c r="F22" s="64" t="s">
        <v>21</v>
      </c>
      <c r="G22" s="21">
        <f t="shared" ref="G22:G41" si="4">SUM(H22:I22)</f>
        <v>66000</v>
      </c>
      <c r="H22" s="21">
        <v>66000</v>
      </c>
      <c r="I22" s="21"/>
      <c r="J22" s="146">
        <v>11500</v>
      </c>
      <c r="K22" s="146">
        <v>33000</v>
      </c>
      <c r="L22" s="146">
        <v>49500</v>
      </c>
      <c r="M22" s="146">
        <f t="shared" si="3"/>
        <v>66000</v>
      </c>
      <c r="P22" s="154"/>
      <c r="Q22" s="154"/>
    </row>
    <row r="23" spans="1:18" x14ac:dyDescent="0.25">
      <c r="A23" s="64"/>
      <c r="B23" s="64"/>
      <c r="C23" s="64"/>
      <c r="D23" s="64"/>
      <c r="E23" s="72" t="s">
        <v>182</v>
      </c>
      <c r="F23" s="64">
        <v>4212</v>
      </c>
      <c r="G23" s="21">
        <f t="shared" si="4"/>
        <v>22633.200000000001</v>
      </c>
      <c r="H23" s="21">
        <v>22633.200000000001</v>
      </c>
      <c r="I23" s="21"/>
      <c r="J23" s="146">
        <v>8983.3976284585005</v>
      </c>
      <c r="K23" s="146">
        <v>12253.753359683793</v>
      </c>
      <c r="L23" s="146">
        <v>17443.476679841897</v>
      </c>
      <c r="M23" s="146">
        <f t="shared" si="3"/>
        <v>22633.200000000001</v>
      </c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21310.5</v>
      </c>
      <c r="H24" s="21">
        <v>21310.5</v>
      </c>
      <c r="I24" s="21"/>
      <c r="J24" s="146">
        <v>9457.930830039526</v>
      </c>
      <c r="K24" s="146">
        <v>13243.306324110672</v>
      </c>
      <c r="L24" s="146">
        <v>17276.903162055336</v>
      </c>
      <c r="M24" s="146">
        <f t="shared" si="3"/>
        <v>21310.5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6943.5</v>
      </c>
      <c r="H25" s="21">
        <v>6943.5</v>
      </c>
      <c r="I25" s="21"/>
      <c r="J25" s="146">
        <v>2111.879446640316</v>
      </c>
      <c r="K25" s="146">
        <v>6943.5</v>
      </c>
      <c r="L25" s="146">
        <v>6943.5</v>
      </c>
      <c r="M25" s="146">
        <f t="shared" si="3"/>
        <v>6943.5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17636</v>
      </c>
      <c r="H26" s="21">
        <v>17636</v>
      </c>
      <c r="I26" s="21"/>
      <c r="J26" s="146">
        <v>9928.4901185770759</v>
      </c>
      <c r="K26" s="146">
        <v>13782.245059288538</v>
      </c>
      <c r="L26" s="146">
        <v>15636</v>
      </c>
      <c r="M26" s="146">
        <f t="shared" si="3"/>
        <v>17636</v>
      </c>
    </row>
    <row r="27" spans="1:18" x14ac:dyDescent="0.25">
      <c r="A27" s="64"/>
      <c r="B27" s="64"/>
      <c r="C27" s="64"/>
      <c r="D27" s="64"/>
      <c r="E27" s="71" t="s">
        <v>601</v>
      </c>
      <c r="F27" s="64">
        <v>4216</v>
      </c>
      <c r="G27" s="21">
        <f t="shared" si="4"/>
        <v>1000</v>
      </c>
      <c r="H27" s="21">
        <v>1000</v>
      </c>
      <c r="I27" s="21"/>
      <c r="J27" s="146">
        <v>245.05928853754941</v>
      </c>
      <c r="K27" s="146">
        <v>486.16600790513831</v>
      </c>
      <c r="L27" s="146">
        <v>743.08300395256913</v>
      </c>
      <c r="M27" s="146">
        <f t="shared" si="3"/>
        <v>1000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1516</v>
      </c>
      <c r="H29" s="21">
        <v>1516</v>
      </c>
      <c r="I29" s="21"/>
      <c r="J29" s="146">
        <v>383.58893280632412</v>
      </c>
      <c r="K29" s="146">
        <v>1516</v>
      </c>
      <c r="L29" s="146">
        <v>1516</v>
      </c>
      <c r="M29" s="146">
        <f t="shared" si="3"/>
        <v>1516</v>
      </c>
    </row>
    <row r="30" spans="1:18" x14ac:dyDescent="0.25">
      <c r="A30" s="64"/>
      <c r="B30" s="64"/>
      <c r="C30" s="64"/>
      <c r="D30" s="64"/>
      <c r="E30" s="71" t="s">
        <v>397</v>
      </c>
      <c r="F30" s="64">
        <v>4222</v>
      </c>
      <c r="G30" s="21">
        <f t="shared" si="4"/>
        <v>3000</v>
      </c>
      <c r="H30" s="21">
        <v>3000</v>
      </c>
      <c r="I30" s="21"/>
      <c r="J30" s="146">
        <v>735.17786561264825</v>
      </c>
      <c r="K30" s="146">
        <v>1458.4980237154152</v>
      </c>
      <c r="L30" s="146">
        <v>2229.2490118577075</v>
      </c>
      <c r="M30" s="146">
        <f t="shared" si="3"/>
        <v>3000</v>
      </c>
    </row>
    <row r="31" spans="1:18" x14ac:dyDescent="0.25">
      <c r="A31" s="64"/>
      <c r="B31" s="64"/>
      <c r="C31" s="64"/>
      <c r="D31" s="64"/>
      <c r="E31" s="71" t="s">
        <v>860</v>
      </c>
      <c r="F31" s="64" t="s">
        <v>35</v>
      </c>
      <c r="G31" s="21">
        <f t="shared" si="4"/>
        <v>15000</v>
      </c>
      <c r="H31" s="21">
        <v>15000</v>
      </c>
      <c r="I31" s="21"/>
      <c r="J31" s="146">
        <v>7292.490118577075</v>
      </c>
      <c r="K31" s="146">
        <v>11146.245059288538</v>
      </c>
      <c r="L31" s="146">
        <v>13000</v>
      </c>
      <c r="M31" s="146">
        <f t="shared" si="3"/>
        <v>15000</v>
      </c>
      <c r="Q31" s="154"/>
      <c r="R31" s="154"/>
    </row>
    <row r="32" spans="1:18" x14ac:dyDescent="0.25">
      <c r="A32" s="64"/>
      <c r="B32" s="64"/>
      <c r="C32" s="64"/>
      <c r="D32" s="64"/>
      <c r="E32" s="71" t="s">
        <v>164</v>
      </c>
      <c r="F32" s="64">
        <v>4234</v>
      </c>
      <c r="G32" s="21">
        <f t="shared" si="4"/>
        <v>6295.8</v>
      </c>
      <c r="H32" s="21">
        <v>6295.8</v>
      </c>
      <c r="I32" s="21"/>
      <c r="J32" s="146">
        <v>1766.1557312252964</v>
      </c>
      <c r="K32" s="146">
        <v>3212.7960474308306</v>
      </c>
      <c r="L32" s="146">
        <v>4754.2980237154152</v>
      </c>
      <c r="M32" s="146">
        <f t="shared" si="3"/>
        <v>6295.8</v>
      </c>
    </row>
    <row r="33" spans="1:13" x14ac:dyDescent="0.25">
      <c r="A33" s="64"/>
      <c r="B33" s="64"/>
      <c r="C33" s="64"/>
      <c r="D33" s="64"/>
      <c r="E33" s="71" t="s">
        <v>165</v>
      </c>
      <c r="F33" s="64">
        <v>4237</v>
      </c>
      <c r="G33" s="21">
        <f t="shared" si="4"/>
        <v>15355.9</v>
      </c>
      <c r="H33" s="21">
        <v>15355.9</v>
      </c>
      <c r="I33" s="21"/>
      <c r="J33" s="146">
        <v>7291.0304347826095</v>
      </c>
      <c r="K33" s="146">
        <v>15355.9</v>
      </c>
      <c r="L33" s="146">
        <v>15355.9</v>
      </c>
      <c r="M33" s="146">
        <f t="shared" si="3"/>
        <v>15355.9</v>
      </c>
    </row>
    <row r="34" spans="1:13" x14ac:dyDescent="0.25">
      <c r="A34" s="64"/>
      <c r="B34" s="64"/>
      <c r="C34" s="64"/>
      <c r="D34" s="64"/>
      <c r="E34" s="71" t="s">
        <v>166</v>
      </c>
      <c r="F34" s="64">
        <v>4239</v>
      </c>
      <c r="G34" s="21">
        <f t="shared" si="4"/>
        <v>10215</v>
      </c>
      <c r="H34" s="21">
        <v>10215</v>
      </c>
      <c r="I34" s="21"/>
      <c r="J34" s="146">
        <v>4665.5928853754904</v>
      </c>
      <c r="K34" s="146">
        <v>10215</v>
      </c>
      <c r="L34" s="146">
        <v>10215</v>
      </c>
      <c r="M34" s="146">
        <f t="shared" si="3"/>
        <v>10215</v>
      </c>
    </row>
    <row r="35" spans="1:13" x14ac:dyDescent="0.25">
      <c r="A35" s="64"/>
      <c r="B35" s="64"/>
      <c r="C35" s="64"/>
      <c r="D35" s="64"/>
      <c r="E35" s="71" t="s">
        <v>167</v>
      </c>
      <c r="F35" s="64">
        <v>4241</v>
      </c>
      <c r="G35" s="21">
        <f t="shared" si="4"/>
        <v>37310</v>
      </c>
      <c r="H35" s="21">
        <v>37310</v>
      </c>
      <c r="I35" s="21"/>
      <c r="J35" s="146">
        <v>10887.075098814228</v>
      </c>
      <c r="K35" s="146">
        <v>19325.81027667984</v>
      </c>
      <c r="L35" s="146">
        <v>28317.90513833992</v>
      </c>
      <c r="M35" s="146">
        <f t="shared" si="3"/>
        <v>37310</v>
      </c>
    </row>
    <row r="36" spans="1:13" ht="27" x14ac:dyDescent="0.25">
      <c r="A36" s="64"/>
      <c r="B36" s="64"/>
      <c r="C36" s="64"/>
      <c r="D36" s="64"/>
      <c r="E36" s="71" t="s">
        <v>861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3" ht="27" x14ac:dyDescent="0.25">
      <c r="A37" s="64"/>
      <c r="B37" s="64"/>
      <c r="C37" s="64"/>
      <c r="D37" s="64"/>
      <c r="E37" s="71" t="s">
        <v>412</v>
      </c>
      <c r="F37" s="64">
        <v>4252</v>
      </c>
      <c r="G37" s="21">
        <f t="shared" si="4"/>
        <v>4194</v>
      </c>
      <c r="H37" s="21">
        <v>4194</v>
      </c>
      <c r="I37" s="21"/>
      <c r="J37" s="146">
        <v>1174.2371541501975</v>
      </c>
      <c r="K37" s="146">
        <v>2138.664031620553</v>
      </c>
      <c r="L37" s="146">
        <v>3166.3320158102765</v>
      </c>
      <c r="M37" s="146">
        <f t="shared" si="3"/>
        <v>4194</v>
      </c>
    </row>
    <row r="38" spans="1:13" x14ac:dyDescent="0.25">
      <c r="A38" s="64"/>
      <c r="B38" s="64"/>
      <c r="C38" s="64"/>
      <c r="D38" s="64"/>
      <c r="E38" s="71" t="s">
        <v>414</v>
      </c>
      <c r="F38" s="64">
        <v>4261</v>
      </c>
      <c r="G38" s="21">
        <f t="shared" si="4"/>
        <v>5000</v>
      </c>
      <c r="H38" s="21">
        <v>5000</v>
      </c>
      <c r="I38" s="21"/>
      <c r="J38" s="146">
        <v>2225.2964426877502</v>
      </c>
      <c r="K38" s="146">
        <v>3430.8300395256902</v>
      </c>
      <c r="L38" s="146">
        <v>4715.4150197628496</v>
      </c>
      <c r="M38" s="146">
        <f t="shared" si="3"/>
        <v>5000</v>
      </c>
    </row>
    <row r="39" spans="1:13" x14ac:dyDescent="0.25">
      <c r="A39" s="64"/>
      <c r="B39" s="64"/>
      <c r="C39" s="64"/>
      <c r="D39" s="64"/>
      <c r="E39" s="71" t="s">
        <v>168</v>
      </c>
      <c r="F39" s="64">
        <v>4264</v>
      </c>
      <c r="G39" s="21">
        <f t="shared" si="4"/>
        <v>26000.7</v>
      </c>
      <c r="H39" s="21">
        <v>26000.7</v>
      </c>
      <c r="I39" s="21"/>
      <c r="J39" s="146">
        <v>7127.1822134387348</v>
      </c>
      <c r="K39" s="146">
        <v>13154.850197628459</v>
      </c>
      <c r="L39" s="146">
        <v>19577.775098814229</v>
      </c>
      <c r="M39" s="146">
        <f t="shared" si="3"/>
        <v>26000.7</v>
      </c>
    </row>
    <row r="40" spans="1:13" x14ac:dyDescent="0.25">
      <c r="A40" s="64"/>
      <c r="B40" s="64"/>
      <c r="C40" s="64"/>
      <c r="D40" s="64"/>
      <c r="E40" s="71" t="s">
        <v>169</v>
      </c>
      <c r="F40" s="64">
        <v>4269</v>
      </c>
      <c r="G40" s="21">
        <f t="shared" si="4"/>
        <v>8581.7999999999993</v>
      </c>
      <c r="H40" s="21">
        <v>8581.7999999999993</v>
      </c>
      <c r="I40" s="21"/>
      <c r="J40" s="146">
        <v>4984.9620553359682</v>
      </c>
      <c r="K40" s="146">
        <v>6783.3810276679842</v>
      </c>
      <c r="L40" s="146">
        <v>7581.8</v>
      </c>
      <c r="M40" s="146">
        <f t="shared" si="3"/>
        <v>8581.7999999999993</v>
      </c>
    </row>
    <row r="41" spans="1:13" x14ac:dyDescent="0.25">
      <c r="A41" s="64"/>
      <c r="B41" s="64"/>
      <c r="C41" s="64"/>
      <c r="D41" s="64"/>
      <c r="E41" s="71" t="s">
        <v>170</v>
      </c>
      <c r="F41" s="64">
        <v>4823</v>
      </c>
      <c r="G41" s="21">
        <f t="shared" si="4"/>
        <v>6550</v>
      </c>
      <c r="H41" s="21">
        <v>6550</v>
      </c>
      <c r="I41" s="21"/>
      <c r="J41" s="146">
        <v>1642.885375494071</v>
      </c>
      <c r="K41" s="146">
        <v>3210.079051383399</v>
      </c>
      <c r="L41" s="146">
        <v>4880.0395256916991</v>
      </c>
      <c r="M41" s="146">
        <f t="shared" si="3"/>
        <v>6550</v>
      </c>
    </row>
    <row r="42" spans="1:13" x14ac:dyDescent="0.25">
      <c r="A42" s="64"/>
      <c r="B42" s="64"/>
      <c r="C42" s="64"/>
      <c r="D42" s="64"/>
      <c r="E42" s="71" t="s">
        <v>171</v>
      </c>
      <c r="F42" s="64">
        <v>4861</v>
      </c>
      <c r="G42" s="21">
        <v>0</v>
      </c>
      <c r="H42" s="21"/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3" x14ac:dyDescent="0.25">
      <c r="A43" s="64"/>
      <c r="B43" s="64"/>
      <c r="C43" s="64"/>
      <c r="D43" s="64"/>
      <c r="E43" s="71" t="s">
        <v>172</v>
      </c>
      <c r="F43" s="64">
        <v>5111</v>
      </c>
      <c r="G43" s="21">
        <v>0</v>
      </c>
      <c r="H43" s="21"/>
      <c r="I43" s="21"/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3" ht="27" x14ac:dyDescent="0.25">
      <c r="A44" s="64"/>
      <c r="B44" s="64"/>
      <c r="C44" s="64"/>
      <c r="D44" s="64"/>
      <c r="E44" s="71" t="s">
        <v>607</v>
      </c>
      <c r="F44" s="64" t="s">
        <v>92</v>
      </c>
      <c r="G44" s="21">
        <f t="shared" ref="G44:G50" si="5">SUM(H44:I44)</f>
        <v>17905.23</v>
      </c>
      <c r="H44" s="21"/>
      <c r="I44" s="21">
        <v>17905.23</v>
      </c>
      <c r="J44" s="146">
        <v>17905.23</v>
      </c>
      <c r="K44" s="146">
        <v>17905.23</v>
      </c>
      <c r="L44" s="146">
        <v>17905.23</v>
      </c>
      <c r="M44" s="146">
        <f t="shared" si="3"/>
        <v>17905.23</v>
      </c>
    </row>
    <row r="45" spans="1:13" x14ac:dyDescent="0.25">
      <c r="A45" s="64"/>
      <c r="B45" s="64"/>
      <c r="C45" s="64"/>
      <c r="D45" s="64"/>
      <c r="E45" s="73" t="s">
        <v>174</v>
      </c>
      <c r="F45" s="64">
        <v>5121</v>
      </c>
      <c r="G45" s="21">
        <f t="shared" si="5"/>
        <v>0</v>
      </c>
      <c r="H45" s="21"/>
      <c r="I45" s="21"/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3" x14ac:dyDescent="0.25">
      <c r="A46" s="64"/>
      <c r="B46" s="64"/>
      <c r="C46" s="64"/>
      <c r="D46" s="64"/>
      <c r="E46" s="71" t="s">
        <v>175</v>
      </c>
      <c r="F46" s="64">
        <v>5122</v>
      </c>
      <c r="G46" s="21">
        <f t="shared" si="5"/>
        <v>15232.7</v>
      </c>
      <c r="H46" s="21"/>
      <c r="I46" s="21">
        <v>15232.7</v>
      </c>
      <c r="J46" s="146">
        <v>3908.5893280632413</v>
      </c>
      <c r="K46" s="146">
        <v>7525.1901185770748</v>
      </c>
      <c r="L46" s="146">
        <v>11378.945059288539</v>
      </c>
      <c r="M46" s="146">
        <f t="shared" si="3"/>
        <v>15232.7</v>
      </c>
    </row>
    <row r="47" spans="1:13" x14ac:dyDescent="0.25">
      <c r="A47" s="64"/>
      <c r="B47" s="64"/>
      <c r="C47" s="64"/>
      <c r="D47" s="64"/>
      <c r="E47" s="71" t="s">
        <v>606</v>
      </c>
      <c r="F47" s="64">
        <v>5132</v>
      </c>
      <c r="G47" s="21">
        <f t="shared" si="5"/>
        <v>0</v>
      </c>
      <c r="H47" s="21"/>
      <c r="I47" s="21"/>
      <c r="J47" s="146">
        <v>0</v>
      </c>
      <c r="K47" s="146">
        <v>0</v>
      </c>
      <c r="L47" s="146">
        <v>0</v>
      </c>
      <c r="M47" s="146">
        <f t="shared" si="3"/>
        <v>0</v>
      </c>
    </row>
    <row r="48" spans="1:13" x14ac:dyDescent="0.25">
      <c r="A48" s="64"/>
      <c r="B48" s="64"/>
      <c r="C48" s="64"/>
      <c r="D48" s="64"/>
      <c r="E48" s="71" t="s">
        <v>550</v>
      </c>
      <c r="F48" s="64">
        <v>5129</v>
      </c>
      <c r="G48" s="21">
        <f t="shared" si="5"/>
        <v>8346.1</v>
      </c>
      <c r="H48" s="21"/>
      <c r="I48" s="21">
        <v>8346.1</v>
      </c>
      <c r="J48" s="146">
        <v>8346.1</v>
      </c>
      <c r="K48" s="146">
        <v>8346.1</v>
      </c>
      <c r="L48" s="146">
        <v>8346.1</v>
      </c>
      <c r="M48" s="146">
        <f t="shared" si="3"/>
        <v>8346.1</v>
      </c>
    </row>
    <row r="49" spans="1:13" x14ac:dyDescent="0.25">
      <c r="A49" s="64"/>
      <c r="B49" s="64"/>
      <c r="C49" s="64"/>
      <c r="D49" s="64"/>
      <c r="E49" s="71" t="s">
        <v>593</v>
      </c>
      <c r="F49" s="64" t="s">
        <v>96</v>
      </c>
      <c r="G49" s="21">
        <f t="shared" si="5"/>
        <v>1264.4000000000001</v>
      </c>
      <c r="H49" s="21"/>
      <c r="I49" s="21">
        <v>1264.4000000000001</v>
      </c>
      <c r="J49" s="146">
        <v>1264.4000000000001</v>
      </c>
      <c r="K49" s="146">
        <v>1264.4000000000001</v>
      </c>
      <c r="L49" s="146">
        <v>1264.4000000000001</v>
      </c>
      <c r="M49" s="146">
        <f t="shared" ref="M49:M50" si="6">+G49</f>
        <v>1264.4000000000001</v>
      </c>
    </row>
    <row r="50" spans="1:13" x14ac:dyDescent="0.25">
      <c r="A50" s="64"/>
      <c r="B50" s="64"/>
      <c r="C50" s="64"/>
      <c r="D50" s="64"/>
      <c r="E50" s="71" t="s">
        <v>756</v>
      </c>
      <c r="F50" s="64" t="s">
        <v>99</v>
      </c>
      <c r="G50" s="21">
        <f t="shared" si="5"/>
        <v>160</v>
      </c>
      <c r="H50" s="21"/>
      <c r="I50" s="21">
        <v>160</v>
      </c>
      <c r="J50" s="146">
        <v>160</v>
      </c>
      <c r="K50" s="146">
        <v>160</v>
      </c>
      <c r="L50" s="146">
        <v>160</v>
      </c>
      <c r="M50" s="146">
        <f t="shared" si="6"/>
        <v>160</v>
      </c>
    </row>
    <row r="51" spans="1:13" ht="27" x14ac:dyDescent="0.25">
      <c r="A51" s="64">
        <v>2112</v>
      </c>
      <c r="B51" s="64" t="s">
        <v>2</v>
      </c>
      <c r="C51" s="64">
        <v>1</v>
      </c>
      <c r="D51" s="64">
        <v>2</v>
      </c>
      <c r="E51" s="71" t="s">
        <v>176</v>
      </c>
      <c r="F51" s="64"/>
      <c r="G51" s="21"/>
      <c r="H51" s="21"/>
      <c r="I51" s="21"/>
      <c r="J51" s="21"/>
      <c r="K51" s="21"/>
      <c r="L51" s="21"/>
      <c r="M51" s="21"/>
    </row>
    <row r="52" spans="1:13" ht="40.5" x14ac:dyDescent="0.25">
      <c r="A52" s="64"/>
      <c r="B52" s="64"/>
      <c r="C52" s="64"/>
      <c r="D52" s="64"/>
      <c r="E52" s="71" t="s">
        <v>177</v>
      </c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212"/>
      <c r="F53" s="64"/>
      <c r="G53" s="21"/>
      <c r="H53" s="21"/>
      <c r="I53" s="21"/>
      <c r="J53" s="21"/>
      <c r="K53" s="21"/>
      <c r="L53" s="21"/>
      <c r="M53" s="21"/>
    </row>
    <row r="54" spans="1:13" x14ac:dyDescent="0.25">
      <c r="A54" s="64">
        <v>2113</v>
      </c>
      <c r="B54" s="64" t="s">
        <v>2</v>
      </c>
      <c r="C54" s="64">
        <v>1</v>
      </c>
      <c r="D54" s="64">
        <v>3</v>
      </c>
      <c r="E54" s="212"/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183</v>
      </c>
      <c r="F55" s="64"/>
      <c r="G55" s="21"/>
      <c r="H55" s="21"/>
      <c r="I55" s="21"/>
      <c r="J55" s="21"/>
      <c r="K55" s="21"/>
      <c r="L55" s="21"/>
      <c r="M55" s="21"/>
    </row>
    <row r="56" spans="1:13" ht="40.5" x14ac:dyDescent="0.25">
      <c r="A56" s="64"/>
      <c r="B56" s="64"/>
      <c r="C56" s="64"/>
      <c r="D56" s="64"/>
      <c r="E56" s="71" t="s">
        <v>177</v>
      </c>
      <c r="F56" s="64"/>
      <c r="G56" s="21"/>
      <c r="H56" s="21"/>
      <c r="I56" s="21"/>
      <c r="J56" s="21"/>
      <c r="K56" s="21"/>
      <c r="L56" s="21"/>
      <c r="M56" s="21"/>
    </row>
    <row r="57" spans="1:13" x14ac:dyDescent="0.25">
      <c r="A57" s="64"/>
      <c r="B57" s="64"/>
      <c r="C57" s="64"/>
      <c r="D57" s="64"/>
      <c r="E57" s="71" t="s">
        <v>184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2120</v>
      </c>
      <c r="B58" s="64" t="s">
        <v>2</v>
      </c>
      <c r="C58" s="64">
        <v>2</v>
      </c>
      <c r="D58" s="64">
        <v>0</v>
      </c>
      <c r="E58" s="71" t="s">
        <v>156</v>
      </c>
      <c r="F58" s="64"/>
      <c r="G58" s="21"/>
      <c r="H58" s="21"/>
      <c r="I58" s="21"/>
      <c r="J58" s="21"/>
      <c r="K58" s="21"/>
      <c r="L58" s="21"/>
      <c r="M58" s="21"/>
    </row>
    <row r="59" spans="1:13" x14ac:dyDescent="0.25">
      <c r="A59" s="64"/>
      <c r="B59" s="64"/>
      <c r="C59" s="64"/>
      <c r="D59" s="64"/>
      <c r="E59" s="212" t="s">
        <v>184</v>
      </c>
      <c r="F59" s="64"/>
      <c r="G59" s="21"/>
      <c r="H59" s="21"/>
      <c r="I59" s="21"/>
      <c r="J59" s="21"/>
      <c r="K59" s="21"/>
      <c r="L59" s="21"/>
      <c r="M59" s="21"/>
    </row>
    <row r="60" spans="1:13" x14ac:dyDescent="0.25">
      <c r="A60" s="64">
        <v>2121</v>
      </c>
      <c r="B60" s="64" t="s">
        <v>2</v>
      </c>
      <c r="C60" s="64">
        <v>2</v>
      </c>
      <c r="D60" s="64">
        <v>1</v>
      </c>
      <c r="E60" s="212" t="s">
        <v>186</v>
      </c>
      <c r="F60" s="64"/>
      <c r="G60" s="21"/>
      <c r="H60" s="21"/>
      <c r="I60" s="21"/>
      <c r="J60" s="21"/>
      <c r="K60" s="21"/>
      <c r="L60" s="21"/>
      <c r="M60" s="21"/>
    </row>
    <row r="61" spans="1:13" x14ac:dyDescent="0.25">
      <c r="A61" s="64"/>
      <c r="B61" s="64"/>
      <c r="C61" s="64"/>
      <c r="D61" s="64"/>
      <c r="E61" s="71" t="s">
        <v>179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/>
      <c r="B62" s="64"/>
      <c r="C62" s="64"/>
      <c r="D62" s="64"/>
      <c r="E62" s="71" t="s">
        <v>177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180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>
        <v>2122</v>
      </c>
      <c r="B64" s="64" t="s">
        <v>2</v>
      </c>
      <c r="C64" s="64">
        <v>2</v>
      </c>
      <c r="D64" s="64">
        <v>2</v>
      </c>
      <c r="E64" s="71" t="s">
        <v>177</v>
      </c>
      <c r="F64" s="64"/>
      <c r="G64" s="21"/>
      <c r="H64" s="21"/>
      <c r="I64" s="21"/>
      <c r="J64" s="21"/>
      <c r="K64" s="21"/>
      <c r="L64" s="21"/>
      <c r="M64" s="21"/>
    </row>
    <row r="65" spans="1:13" ht="27" x14ac:dyDescent="0.25">
      <c r="A65" s="64"/>
      <c r="B65" s="64"/>
      <c r="C65" s="64"/>
      <c r="D65" s="64"/>
      <c r="E65" s="71" t="s">
        <v>180</v>
      </c>
      <c r="F65" s="64"/>
      <c r="G65" s="21"/>
      <c r="H65" s="21"/>
      <c r="I65" s="21"/>
      <c r="J65" s="21"/>
      <c r="K65" s="21"/>
      <c r="L65" s="21"/>
      <c r="M65" s="21"/>
    </row>
    <row r="66" spans="1:13" ht="40.5" x14ac:dyDescent="0.25">
      <c r="A66" s="64"/>
      <c r="B66" s="64"/>
      <c r="C66" s="64"/>
      <c r="D66" s="64"/>
      <c r="E66" s="71" t="s">
        <v>568</v>
      </c>
      <c r="F66" s="64"/>
      <c r="G66" s="21"/>
      <c r="H66" s="21"/>
      <c r="I66" s="21"/>
      <c r="J66" s="21"/>
      <c r="K66" s="21"/>
      <c r="L66" s="21"/>
      <c r="M66" s="21"/>
    </row>
    <row r="67" spans="1:13" x14ac:dyDescent="0.25">
      <c r="A67" s="64"/>
      <c r="B67" s="64"/>
      <c r="C67" s="64"/>
      <c r="D67" s="64"/>
      <c r="E67" s="71" t="s">
        <v>178</v>
      </c>
      <c r="F67" s="64"/>
      <c r="G67" s="21"/>
      <c r="H67" s="21"/>
      <c r="I67" s="21"/>
      <c r="J67" s="21"/>
      <c r="K67" s="21"/>
      <c r="L67" s="21"/>
      <c r="M67" s="21"/>
    </row>
    <row r="68" spans="1:13" x14ac:dyDescent="0.25">
      <c r="A68" s="64">
        <v>2130</v>
      </c>
      <c r="B68" s="64" t="s">
        <v>2</v>
      </c>
      <c r="C68" s="64">
        <v>3</v>
      </c>
      <c r="D68" s="64">
        <v>0</v>
      </c>
      <c r="E68" s="71" t="s">
        <v>195</v>
      </c>
      <c r="F68" s="64"/>
      <c r="G68" s="21">
        <f>G70+G74+G78</f>
        <v>0</v>
      </c>
      <c r="H68" s="21">
        <f t="shared" ref="H68:I68" si="7">H70+H74+H78</f>
        <v>0</v>
      </c>
      <c r="I68" s="21">
        <f t="shared" si="7"/>
        <v>0</v>
      </c>
      <c r="J68" s="21">
        <f>J70+J77+J81</f>
        <v>0</v>
      </c>
      <c r="K68" s="21">
        <f>K70+K77+K81</f>
        <v>0</v>
      </c>
      <c r="L68" s="21">
        <f>L70+L77+L81</f>
        <v>0</v>
      </c>
      <c r="M68" s="21">
        <f>M70+M77+M81</f>
        <v>0</v>
      </c>
    </row>
    <row r="69" spans="1:13" ht="27" x14ac:dyDescent="0.25">
      <c r="A69" s="64"/>
      <c r="B69" s="64"/>
      <c r="C69" s="64"/>
      <c r="D69" s="64"/>
      <c r="E69" s="71" t="s">
        <v>569</v>
      </c>
      <c r="F69" s="64"/>
      <c r="G69" s="21"/>
      <c r="H69" s="21"/>
      <c r="I69" s="21"/>
      <c r="J69" s="21"/>
      <c r="K69" s="21"/>
      <c r="L69" s="21"/>
      <c r="M69" s="21"/>
    </row>
    <row r="70" spans="1:13" ht="27" x14ac:dyDescent="0.25">
      <c r="A70" s="64">
        <v>2131</v>
      </c>
      <c r="B70" s="64" t="s">
        <v>2</v>
      </c>
      <c r="C70" s="64">
        <v>3</v>
      </c>
      <c r="D70" s="64">
        <v>1</v>
      </c>
      <c r="E70" s="71" t="s">
        <v>196</v>
      </c>
      <c r="F70" s="64"/>
      <c r="G70" s="21"/>
      <c r="H70" s="21"/>
      <c r="I70" s="21"/>
      <c r="J70" s="21"/>
      <c r="K70" s="21"/>
      <c r="L70" s="21"/>
      <c r="M70" s="21"/>
    </row>
    <row r="71" spans="1:13" ht="40.5" x14ac:dyDescent="0.25">
      <c r="A71" s="64"/>
      <c r="B71" s="64"/>
      <c r="C71" s="64"/>
      <c r="D71" s="64"/>
      <c r="E71" s="71" t="s">
        <v>568</v>
      </c>
      <c r="F71" s="64"/>
      <c r="G71" s="21"/>
      <c r="H71" s="21"/>
      <c r="I71" s="21"/>
      <c r="J71" s="21"/>
      <c r="K71" s="21"/>
      <c r="L71" s="21"/>
      <c r="M71" s="21"/>
    </row>
    <row r="72" spans="1:13" x14ac:dyDescent="0.25">
      <c r="A72" s="64"/>
      <c r="B72" s="64"/>
      <c r="C72" s="64"/>
      <c r="D72" s="64"/>
      <c r="E72" s="71" t="s">
        <v>178</v>
      </c>
      <c r="F72" s="64"/>
      <c r="G72" s="21"/>
      <c r="H72" s="21"/>
      <c r="I72" s="21"/>
      <c r="J72" s="21"/>
      <c r="K72" s="21"/>
      <c r="L72" s="21"/>
      <c r="M72" s="21"/>
    </row>
    <row r="73" spans="1:13" x14ac:dyDescent="0.25">
      <c r="A73" s="64"/>
      <c r="B73" s="64"/>
      <c r="C73" s="64"/>
      <c r="D73" s="64"/>
      <c r="E73" s="71" t="s">
        <v>178</v>
      </c>
      <c r="F73" s="64"/>
      <c r="G73" s="21"/>
      <c r="H73" s="21"/>
      <c r="I73" s="21"/>
      <c r="J73" s="21"/>
      <c r="K73" s="21"/>
      <c r="L73" s="21"/>
      <c r="M73" s="21"/>
    </row>
    <row r="74" spans="1:13" ht="27" x14ac:dyDescent="0.25">
      <c r="A74" s="64">
        <v>2132</v>
      </c>
      <c r="B74" s="64" t="s">
        <v>2</v>
      </c>
      <c r="C74" s="64">
        <v>3</v>
      </c>
      <c r="D74" s="64">
        <v>2</v>
      </c>
      <c r="E74" s="71" t="s">
        <v>197</v>
      </c>
      <c r="F74" s="64"/>
      <c r="G74" s="21"/>
      <c r="H74" s="21"/>
      <c r="I74" s="21"/>
      <c r="J74" s="21"/>
      <c r="K74" s="21"/>
      <c r="L74" s="21"/>
      <c r="M74" s="21"/>
    </row>
    <row r="75" spans="1:13" ht="40.5" x14ac:dyDescent="0.25">
      <c r="A75" s="64"/>
      <c r="B75" s="64"/>
      <c r="C75" s="64"/>
      <c r="D75" s="64"/>
      <c r="E75" s="71" t="s">
        <v>177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/>
      <c r="B76" s="64"/>
      <c r="C76" s="64"/>
      <c r="D76" s="64"/>
      <c r="E76" s="71" t="s">
        <v>178</v>
      </c>
      <c r="F76" s="64"/>
      <c r="G76" s="21"/>
      <c r="H76" s="21"/>
      <c r="I76" s="21"/>
      <c r="J76" s="21"/>
      <c r="K76" s="21"/>
      <c r="L76" s="21"/>
      <c r="M76" s="21"/>
    </row>
    <row r="77" spans="1:13" x14ac:dyDescent="0.25">
      <c r="A77" s="64"/>
      <c r="B77" s="64"/>
      <c r="C77" s="64"/>
      <c r="D77" s="64"/>
      <c r="E77" s="71" t="s">
        <v>178</v>
      </c>
      <c r="F77" s="64"/>
      <c r="G77" s="21"/>
      <c r="H77" s="21"/>
      <c r="I77" s="21"/>
      <c r="J77" s="21"/>
      <c r="K77" s="21"/>
      <c r="L77" s="21"/>
      <c r="M77" s="21"/>
    </row>
    <row r="78" spans="1:13" x14ac:dyDescent="0.25">
      <c r="A78" s="64">
        <v>2133</v>
      </c>
      <c r="B78" s="64" t="s">
        <v>2</v>
      </c>
      <c r="C78" s="64">
        <v>3</v>
      </c>
      <c r="D78" s="64">
        <v>3</v>
      </c>
      <c r="E78" s="71" t="s">
        <v>198</v>
      </c>
      <c r="F78" s="64"/>
      <c r="G78" s="21">
        <f t="shared" ref="G78:M78" si="8">SUM(G80:G87)</f>
        <v>0</v>
      </c>
      <c r="H78" s="21">
        <f t="shared" si="8"/>
        <v>0</v>
      </c>
      <c r="I78" s="21">
        <f t="shared" si="8"/>
        <v>0</v>
      </c>
      <c r="J78" s="21">
        <f t="shared" si="8"/>
        <v>0</v>
      </c>
      <c r="K78" s="21">
        <f t="shared" si="8"/>
        <v>0</v>
      </c>
      <c r="L78" s="21">
        <f t="shared" si="8"/>
        <v>0</v>
      </c>
      <c r="M78" s="21">
        <f t="shared" si="8"/>
        <v>0</v>
      </c>
    </row>
    <row r="79" spans="1:13" ht="40.5" x14ac:dyDescent="0.25">
      <c r="A79" s="64"/>
      <c r="B79" s="64"/>
      <c r="C79" s="64"/>
      <c r="D79" s="64"/>
      <c r="E79" s="71" t="s">
        <v>177</v>
      </c>
      <c r="F79" s="64"/>
      <c r="G79" s="21"/>
      <c r="H79" s="21"/>
      <c r="I79" s="21"/>
      <c r="J79" s="21"/>
      <c r="K79" s="21"/>
      <c r="L79" s="21"/>
      <c r="M79" s="21"/>
    </row>
    <row r="80" spans="1:13" ht="27" x14ac:dyDescent="0.25">
      <c r="A80" s="64"/>
      <c r="B80" s="64"/>
      <c r="C80" s="64"/>
      <c r="D80" s="64"/>
      <c r="E80" s="71" t="s">
        <v>158</v>
      </c>
      <c r="F80" s="64">
        <v>4111</v>
      </c>
      <c r="G80" s="21">
        <v>0</v>
      </c>
      <c r="H80" s="21">
        <f>+G80</f>
        <v>0</v>
      </c>
      <c r="I80" s="21"/>
      <c r="J80" s="84"/>
      <c r="K80" s="84"/>
      <c r="L80" s="84"/>
      <c r="M80" s="84"/>
    </row>
    <row r="81" spans="1:13" x14ac:dyDescent="0.25">
      <c r="A81" s="64"/>
      <c r="B81" s="64"/>
      <c r="C81" s="64"/>
      <c r="D81" s="64"/>
      <c r="E81" s="71" t="s">
        <v>539</v>
      </c>
      <c r="F81" s="64">
        <v>4212</v>
      </c>
      <c r="G81" s="21">
        <v>0</v>
      </c>
      <c r="H81" s="21">
        <f t="shared" ref="H81:H87" si="9">+G81</f>
        <v>0</v>
      </c>
      <c r="I81" s="21"/>
      <c r="J81" s="84"/>
      <c r="K81" s="84"/>
      <c r="L81" s="84"/>
      <c r="M81" s="84"/>
    </row>
    <row r="82" spans="1:13" x14ac:dyDescent="0.25">
      <c r="A82" s="64"/>
      <c r="B82" s="64"/>
      <c r="C82" s="64"/>
      <c r="D82" s="64"/>
      <c r="E82" s="71" t="s">
        <v>540</v>
      </c>
      <c r="F82" s="64">
        <v>4213</v>
      </c>
      <c r="G82" s="21">
        <v>0</v>
      </c>
      <c r="H82" s="21">
        <f t="shared" si="9"/>
        <v>0</v>
      </c>
      <c r="I82" s="21"/>
      <c r="J82" s="84"/>
      <c r="K82" s="84"/>
      <c r="L82" s="84"/>
      <c r="M82" s="84"/>
    </row>
    <row r="83" spans="1:13" x14ac:dyDescent="0.25">
      <c r="A83" s="64"/>
      <c r="B83" s="64"/>
      <c r="C83" s="64"/>
      <c r="D83" s="64"/>
      <c r="E83" s="71" t="s">
        <v>541</v>
      </c>
      <c r="F83" s="64">
        <v>4214</v>
      </c>
      <c r="G83" s="21">
        <v>0</v>
      </c>
      <c r="H83" s="21">
        <f t="shared" si="9"/>
        <v>0</v>
      </c>
      <c r="I83" s="21"/>
      <c r="J83" s="84"/>
      <c r="K83" s="84"/>
      <c r="L83" s="84"/>
      <c r="M83" s="84"/>
    </row>
    <row r="84" spans="1:13" x14ac:dyDescent="0.25">
      <c r="A84" s="64"/>
      <c r="B84" s="64"/>
      <c r="C84" s="64"/>
      <c r="D84" s="64"/>
      <c r="E84" s="71" t="s">
        <v>163</v>
      </c>
      <c r="F84" s="64" t="s">
        <v>749</v>
      </c>
      <c r="G84" s="21">
        <v>0</v>
      </c>
      <c r="H84" s="21">
        <f t="shared" si="9"/>
        <v>0</v>
      </c>
      <c r="I84" s="21"/>
      <c r="J84" s="84"/>
      <c r="K84" s="84"/>
      <c r="L84" s="84"/>
      <c r="M84" s="84"/>
    </row>
    <row r="85" spans="1:13" x14ac:dyDescent="0.25">
      <c r="A85" s="64"/>
      <c r="B85" s="64"/>
      <c r="C85" s="64"/>
      <c r="D85" s="64"/>
      <c r="E85" s="71" t="s">
        <v>166</v>
      </c>
      <c r="F85" s="64">
        <v>4239</v>
      </c>
      <c r="G85" s="21">
        <v>0</v>
      </c>
      <c r="H85" s="21">
        <f t="shared" si="9"/>
        <v>0</v>
      </c>
      <c r="I85" s="21"/>
      <c r="J85" s="84"/>
      <c r="K85" s="84"/>
      <c r="L85" s="84"/>
      <c r="M85" s="84"/>
    </row>
    <row r="86" spans="1:13" x14ac:dyDescent="0.25">
      <c r="A86" s="64"/>
      <c r="B86" s="64"/>
      <c r="C86" s="64"/>
      <c r="D86" s="64"/>
      <c r="E86" s="71" t="s">
        <v>414</v>
      </c>
      <c r="F86" s="64">
        <v>4261</v>
      </c>
      <c r="G86" s="21">
        <v>0</v>
      </c>
      <c r="H86" s="21">
        <f t="shared" si="9"/>
        <v>0</v>
      </c>
      <c r="I86" s="21"/>
      <c r="J86" s="84"/>
      <c r="K86" s="84"/>
      <c r="L86" s="84"/>
      <c r="M86" s="84"/>
    </row>
    <row r="87" spans="1:13" x14ac:dyDescent="0.25">
      <c r="A87" s="64"/>
      <c r="B87" s="64"/>
      <c r="C87" s="64"/>
      <c r="D87" s="64"/>
      <c r="E87" s="71" t="s">
        <v>169</v>
      </c>
      <c r="F87" s="64" t="s">
        <v>51</v>
      </c>
      <c r="G87" s="21">
        <v>0</v>
      </c>
      <c r="H87" s="21">
        <f t="shared" si="9"/>
        <v>0</v>
      </c>
      <c r="I87" s="21"/>
      <c r="J87" s="84"/>
      <c r="K87" s="84"/>
      <c r="L87" s="84"/>
      <c r="M87" s="84"/>
    </row>
    <row r="88" spans="1:13" x14ac:dyDescent="0.25">
      <c r="A88" s="64">
        <v>2140</v>
      </c>
      <c r="B88" s="64" t="s">
        <v>2</v>
      </c>
      <c r="C88" s="64">
        <v>4</v>
      </c>
      <c r="D88" s="64">
        <v>0</v>
      </c>
      <c r="E88" s="71" t="s">
        <v>199</v>
      </c>
      <c r="F88" s="64"/>
      <c r="G88" s="21"/>
      <c r="H88" s="21"/>
      <c r="I88" s="21"/>
      <c r="J88" s="21"/>
      <c r="K88" s="21"/>
      <c r="L88" s="21"/>
      <c r="M88" s="21"/>
    </row>
    <row r="89" spans="1:13" x14ac:dyDescent="0.25">
      <c r="A89" s="64"/>
      <c r="B89" s="64"/>
      <c r="C89" s="64"/>
      <c r="D89" s="64"/>
      <c r="E89" s="71" t="s">
        <v>156</v>
      </c>
      <c r="F89" s="64"/>
      <c r="G89" s="21"/>
      <c r="H89" s="21"/>
      <c r="I89" s="21"/>
      <c r="J89" s="21"/>
      <c r="K89" s="21"/>
      <c r="L89" s="21"/>
      <c r="M89" s="21"/>
    </row>
    <row r="90" spans="1:13" x14ac:dyDescent="0.25">
      <c r="A90" s="64">
        <v>2141</v>
      </c>
      <c r="B90" s="64" t="s">
        <v>2</v>
      </c>
      <c r="C90" s="64">
        <v>4</v>
      </c>
      <c r="D90" s="64">
        <v>1</v>
      </c>
      <c r="E90" s="71" t="s">
        <v>199</v>
      </c>
      <c r="F90" s="64"/>
      <c r="G90" s="21"/>
      <c r="H90" s="21"/>
      <c r="I90" s="21"/>
      <c r="J90" s="21"/>
      <c r="K90" s="21"/>
      <c r="L90" s="21"/>
      <c r="M90" s="21"/>
    </row>
    <row r="91" spans="1:13" ht="40.5" x14ac:dyDescent="0.25">
      <c r="A91" s="64"/>
      <c r="B91" s="64"/>
      <c r="C91" s="64"/>
      <c r="D91" s="64"/>
      <c r="E91" s="71" t="s">
        <v>177</v>
      </c>
      <c r="F91" s="64"/>
      <c r="G91" s="21"/>
      <c r="H91" s="21"/>
      <c r="I91" s="21"/>
      <c r="J91" s="21"/>
      <c r="K91" s="21"/>
      <c r="L91" s="21"/>
      <c r="M91" s="21"/>
    </row>
    <row r="92" spans="1:13" x14ac:dyDescent="0.25">
      <c r="A92" s="64"/>
      <c r="B92" s="64"/>
      <c r="C92" s="64"/>
      <c r="D92" s="64"/>
      <c r="E92" s="71" t="s">
        <v>178</v>
      </c>
      <c r="F92" s="64"/>
      <c r="G92" s="21"/>
      <c r="H92" s="21"/>
      <c r="I92" s="21"/>
      <c r="J92" s="21"/>
      <c r="K92" s="21"/>
      <c r="L92" s="21"/>
      <c r="M92" s="21"/>
    </row>
    <row r="93" spans="1:13" x14ac:dyDescent="0.25">
      <c r="A93" s="64"/>
      <c r="B93" s="64"/>
      <c r="C93" s="64"/>
      <c r="D93" s="64"/>
      <c r="E93" s="71" t="s">
        <v>178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2150</v>
      </c>
      <c r="B94" s="64" t="s">
        <v>2</v>
      </c>
      <c r="C94" s="64">
        <v>5</v>
      </c>
      <c r="D94" s="64">
        <v>0</v>
      </c>
      <c r="E94" s="71" t="s">
        <v>201</v>
      </c>
      <c r="F94" s="64"/>
      <c r="G94" s="21">
        <f t="shared" ref="G94:M94" si="10">G96</f>
        <v>23500</v>
      </c>
      <c r="H94" s="21">
        <f t="shared" si="10"/>
        <v>8000</v>
      </c>
      <c r="I94" s="21">
        <f t="shared" si="10"/>
        <v>15500</v>
      </c>
      <c r="J94" s="21">
        <f t="shared" si="10"/>
        <v>5758.893280632411</v>
      </c>
      <c r="K94" s="21">
        <f t="shared" si="10"/>
        <v>11424.90118577075</v>
      </c>
      <c r="L94" s="21">
        <f t="shared" si="10"/>
        <v>17462.450592885376</v>
      </c>
      <c r="M94" s="21">
        <f t="shared" si="10"/>
        <v>23500</v>
      </c>
    </row>
    <row r="95" spans="1:13" x14ac:dyDescent="0.25">
      <c r="A95" s="64"/>
      <c r="B95" s="64"/>
      <c r="C95" s="64"/>
      <c r="D95" s="64"/>
      <c r="E95" s="71" t="s">
        <v>156</v>
      </c>
      <c r="F95" s="64"/>
      <c r="G95" s="21"/>
      <c r="H95" s="21"/>
      <c r="I95" s="21"/>
      <c r="J95" s="21"/>
      <c r="K95" s="21"/>
      <c r="L95" s="21"/>
      <c r="M95" s="21"/>
    </row>
    <row r="96" spans="1:13" ht="40.5" x14ac:dyDescent="0.25">
      <c r="A96" s="64">
        <v>2151</v>
      </c>
      <c r="B96" s="64" t="s">
        <v>2</v>
      </c>
      <c r="C96" s="64">
        <v>5</v>
      </c>
      <c r="D96" s="64">
        <v>1</v>
      </c>
      <c r="E96" s="71" t="s">
        <v>202</v>
      </c>
      <c r="F96" s="64"/>
      <c r="G96" s="21">
        <f t="shared" ref="G96:M96" si="11">G98+G99</f>
        <v>23500</v>
      </c>
      <c r="H96" s="21">
        <f t="shared" si="11"/>
        <v>8000</v>
      </c>
      <c r="I96" s="21">
        <f t="shared" si="11"/>
        <v>15500</v>
      </c>
      <c r="J96" s="21">
        <f t="shared" si="11"/>
        <v>5758.893280632411</v>
      </c>
      <c r="K96" s="21">
        <f t="shared" si="11"/>
        <v>11424.90118577075</v>
      </c>
      <c r="L96" s="21">
        <f t="shared" si="11"/>
        <v>17462.450592885376</v>
      </c>
      <c r="M96" s="21">
        <f t="shared" si="11"/>
        <v>23500</v>
      </c>
    </row>
    <row r="97" spans="1:13" ht="40.5" x14ac:dyDescent="0.25">
      <c r="A97" s="64"/>
      <c r="B97" s="64"/>
      <c r="C97" s="64"/>
      <c r="D97" s="64"/>
      <c r="E97" s="71" t="s">
        <v>177</v>
      </c>
      <c r="F97" s="64"/>
      <c r="G97" s="21"/>
      <c r="H97" s="21"/>
      <c r="I97" s="21"/>
      <c r="J97" s="21"/>
      <c r="K97" s="21"/>
      <c r="L97" s="21"/>
      <c r="M97" s="21"/>
    </row>
    <row r="98" spans="1:13" x14ac:dyDescent="0.25">
      <c r="A98" s="64"/>
      <c r="B98" s="64"/>
      <c r="C98" s="64"/>
      <c r="D98" s="64"/>
      <c r="E98" s="71" t="s">
        <v>542</v>
      </c>
      <c r="F98" s="64">
        <v>4241</v>
      </c>
      <c r="G98" s="21">
        <f>+H98+I98</f>
        <v>8000</v>
      </c>
      <c r="H98" s="21">
        <f>5000+1000+2000</f>
        <v>8000</v>
      </c>
      <c r="I98" s="21"/>
      <c r="J98" s="146">
        <f>+G98/253*62</f>
        <v>1960.4743083003953</v>
      </c>
      <c r="K98" s="146">
        <f>+G98/253*123</f>
        <v>3889.3280632411065</v>
      </c>
      <c r="L98" s="146">
        <f>+G98/253*188</f>
        <v>5944.664031620553</v>
      </c>
      <c r="M98" s="146">
        <f>+G98</f>
        <v>8000</v>
      </c>
    </row>
    <row r="99" spans="1:13" x14ac:dyDescent="0.25">
      <c r="A99" s="64"/>
      <c r="B99" s="64"/>
      <c r="C99" s="64"/>
      <c r="D99" s="64"/>
      <c r="E99" s="71" t="s">
        <v>596</v>
      </c>
      <c r="F99" s="64">
        <v>5134</v>
      </c>
      <c r="G99" s="21">
        <f>+H99+I99</f>
        <v>15500</v>
      </c>
      <c r="H99" s="21"/>
      <c r="I99" s="21">
        <f>11500+4000</f>
        <v>15500</v>
      </c>
      <c r="J99" s="146">
        <f>+G99/253*62</f>
        <v>3798.418972332016</v>
      </c>
      <c r="K99" s="146">
        <f>+G99/253*123</f>
        <v>7535.573122529644</v>
      </c>
      <c r="L99" s="146">
        <f>+G99/253*188</f>
        <v>11517.786561264822</v>
      </c>
      <c r="M99" s="146">
        <f>+G99</f>
        <v>15500</v>
      </c>
    </row>
    <row r="100" spans="1:13" x14ac:dyDescent="0.25">
      <c r="A100" s="64"/>
      <c r="B100" s="64"/>
      <c r="C100" s="64"/>
      <c r="D100" s="64"/>
      <c r="E100" s="71" t="s">
        <v>178</v>
      </c>
      <c r="F100" s="64"/>
      <c r="G100" s="21"/>
      <c r="H100" s="21"/>
      <c r="I100" s="21"/>
      <c r="J100" s="21"/>
      <c r="K100" s="21"/>
      <c r="L100" s="21"/>
      <c r="M100" s="21"/>
    </row>
    <row r="101" spans="1:13" ht="27" x14ac:dyDescent="0.25">
      <c r="A101" s="64">
        <v>2160</v>
      </c>
      <c r="B101" s="64" t="s">
        <v>2</v>
      </c>
      <c r="C101" s="64">
        <v>6</v>
      </c>
      <c r="D101" s="64">
        <v>0</v>
      </c>
      <c r="E101" s="71" t="s">
        <v>203</v>
      </c>
      <c r="F101" s="64"/>
      <c r="G101" s="21">
        <f>+G103+G108</f>
        <v>258135</v>
      </c>
      <c r="H101" s="21">
        <f>+H103+H108</f>
        <v>258135</v>
      </c>
      <c r="I101" s="21">
        <f>I103</f>
        <v>0</v>
      </c>
      <c r="J101" s="21">
        <f>J103</f>
        <v>75542.114624505979</v>
      </c>
      <c r="K101" s="21">
        <f>K103</f>
        <v>143097.45059288541</v>
      </c>
      <c r="L101" s="21">
        <f>L103</f>
        <v>193480.84980237152</v>
      </c>
      <c r="M101" s="21">
        <f>M103</f>
        <v>258135</v>
      </c>
    </row>
    <row r="102" spans="1:13" x14ac:dyDescent="0.25">
      <c r="A102" s="64"/>
      <c r="B102" s="64"/>
      <c r="C102" s="64"/>
      <c r="D102" s="64"/>
      <c r="E102" s="71" t="s">
        <v>156</v>
      </c>
      <c r="F102" s="64"/>
      <c r="G102" s="21"/>
      <c r="H102" s="21"/>
      <c r="I102" s="21"/>
      <c r="J102" s="21"/>
      <c r="K102" s="21"/>
      <c r="L102" s="21"/>
      <c r="M102" s="21"/>
    </row>
    <row r="103" spans="1:13" ht="27" x14ac:dyDescent="0.25">
      <c r="A103" s="64">
        <v>2161</v>
      </c>
      <c r="B103" s="64" t="s">
        <v>2</v>
      </c>
      <c r="C103" s="64">
        <v>6</v>
      </c>
      <c r="D103" s="64">
        <v>1</v>
      </c>
      <c r="E103" s="71" t="s">
        <v>204</v>
      </c>
      <c r="F103" s="64"/>
      <c r="G103" s="21">
        <f>+G105+G106+G109+G112</f>
        <v>258135</v>
      </c>
      <c r="H103" s="21">
        <f t="shared" ref="H103:M103" si="12">+H105+H106+H109+H112</f>
        <v>258135</v>
      </c>
      <c r="I103" s="21">
        <f t="shared" si="12"/>
        <v>0</v>
      </c>
      <c r="J103" s="21">
        <f t="shared" si="12"/>
        <v>75542.114624505979</v>
      </c>
      <c r="K103" s="21">
        <f t="shared" si="12"/>
        <v>143097.45059288541</v>
      </c>
      <c r="L103" s="21">
        <f t="shared" si="12"/>
        <v>193480.84980237152</v>
      </c>
      <c r="M103" s="21">
        <f t="shared" si="12"/>
        <v>258135</v>
      </c>
    </row>
    <row r="104" spans="1:13" ht="40.5" x14ac:dyDescent="0.25">
      <c r="A104" s="64"/>
      <c r="B104" s="64"/>
      <c r="C104" s="64"/>
      <c r="D104" s="64"/>
      <c r="E104" s="71" t="s">
        <v>177</v>
      </c>
      <c r="F104" s="64"/>
      <c r="G104" s="21"/>
      <c r="H104" s="21"/>
      <c r="I104" s="21"/>
      <c r="J104" s="21"/>
      <c r="K104" s="21"/>
      <c r="L104" s="21"/>
      <c r="M104" s="21"/>
    </row>
    <row r="105" spans="1:13" x14ac:dyDescent="0.25">
      <c r="A105" s="64"/>
      <c r="B105" s="64"/>
      <c r="C105" s="64"/>
      <c r="D105" s="64"/>
      <c r="E105" s="71" t="s">
        <v>543</v>
      </c>
      <c r="F105" s="64">
        <v>4241</v>
      </c>
      <c r="G105" s="21">
        <f t="shared" ref="G105:G106" si="13">SUM(H105:I105)</f>
        <v>10265</v>
      </c>
      <c r="H105" s="21">
        <v>10265</v>
      </c>
      <c r="I105" s="21"/>
      <c r="J105" s="146">
        <v>4715.5928853754904</v>
      </c>
      <c r="K105" s="146">
        <v>7126.6600790513803</v>
      </c>
      <c r="L105" s="146">
        <v>8695.8300395256902</v>
      </c>
      <c r="M105" s="146">
        <f>+G105</f>
        <v>10265</v>
      </c>
    </row>
    <row r="106" spans="1:13" x14ac:dyDescent="0.25">
      <c r="A106" s="64"/>
      <c r="B106" s="64"/>
      <c r="C106" s="64"/>
      <c r="D106" s="64"/>
      <c r="E106" s="71" t="s">
        <v>170</v>
      </c>
      <c r="F106" s="64">
        <v>4823</v>
      </c>
      <c r="G106" s="21">
        <f t="shared" si="13"/>
        <v>26770</v>
      </c>
      <c r="H106" s="21">
        <v>26770</v>
      </c>
      <c r="I106" s="21"/>
      <c r="J106" s="146">
        <v>15424.1501976285</v>
      </c>
      <c r="K106" s="146">
        <v>15424.1501976285</v>
      </c>
      <c r="L106" s="146">
        <v>19961.69960474308</v>
      </c>
      <c r="M106" s="146">
        <f>+G106</f>
        <v>26770</v>
      </c>
    </row>
    <row r="107" spans="1:13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84"/>
    </row>
    <row r="108" spans="1:13" x14ac:dyDescent="0.25">
      <c r="A108" s="64"/>
      <c r="B108" s="64"/>
      <c r="C108" s="64"/>
      <c r="D108" s="64"/>
      <c r="E108" s="71" t="s">
        <v>639</v>
      </c>
      <c r="F108" s="64"/>
      <c r="G108" s="21"/>
      <c r="H108" s="21"/>
      <c r="I108" s="21"/>
      <c r="J108" s="21"/>
      <c r="K108" s="21"/>
      <c r="L108" s="21"/>
      <c r="M108" s="84"/>
    </row>
    <row r="109" spans="1:13" x14ac:dyDescent="0.25">
      <c r="A109" s="64"/>
      <c r="B109" s="64"/>
      <c r="C109" s="64"/>
      <c r="D109" s="64"/>
      <c r="E109" s="71" t="s">
        <v>640</v>
      </c>
      <c r="F109" s="64" t="s">
        <v>53</v>
      </c>
      <c r="G109" s="21">
        <f t="shared" ref="G109" si="14">SUM(H109:I109)</f>
        <v>181100</v>
      </c>
      <c r="H109" s="21">
        <v>181100</v>
      </c>
      <c r="I109" s="21"/>
      <c r="J109" s="146">
        <v>45600</v>
      </c>
      <c r="K109" s="146">
        <v>101100</v>
      </c>
      <c r="L109" s="146">
        <v>135100</v>
      </c>
      <c r="M109" s="146">
        <f>+G109</f>
        <v>181100</v>
      </c>
    </row>
    <row r="110" spans="1:13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84"/>
    </row>
    <row r="111" spans="1:13" x14ac:dyDescent="0.25">
      <c r="A111" s="64"/>
      <c r="B111" s="64"/>
      <c r="C111" s="64"/>
      <c r="D111" s="64"/>
      <c r="E111" s="71" t="s">
        <v>178</v>
      </c>
      <c r="F111" s="64"/>
      <c r="G111" s="21"/>
      <c r="H111" s="21"/>
      <c r="I111" s="21"/>
      <c r="J111" s="21"/>
      <c r="K111" s="21"/>
      <c r="L111" s="21"/>
      <c r="M111" s="84"/>
    </row>
    <row r="112" spans="1:13" ht="40.5" x14ac:dyDescent="0.25">
      <c r="A112" s="64"/>
      <c r="B112" s="64"/>
      <c r="C112" s="64"/>
      <c r="D112" s="64"/>
      <c r="E112" s="71" t="s">
        <v>448</v>
      </c>
      <c r="F112" s="54" t="s">
        <v>67</v>
      </c>
      <c r="G112" s="21">
        <f t="shared" ref="G112:G113" si="15">SUM(H112:I112)</f>
        <v>40000</v>
      </c>
      <c r="H112" s="21">
        <v>40000</v>
      </c>
      <c r="I112" s="21"/>
      <c r="J112" s="146">
        <f>+G112/253*62</f>
        <v>9802.371541501976</v>
      </c>
      <c r="K112" s="146">
        <f>+G112/253*123</f>
        <v>19446.640316205532</v>
      </c>
      <c r="L112" s="146">
        <f>+G112/253*188</f>
        <v>29723.320158102768</v>
      </c>
      <c r="M112" s="146">
        <f>+G112</f>
        <v>40000</v>
      </c>
    </row>
    <row r="113" spans="1:13" x14ac:dyDescent="0.25">
      <c r="A113" s="64"/>
      <c r="B113" s="64"/>
      <c r="C113" s="64"/>
      <c r="D113" s="64"/>
      <c r="E113" s="71" t="s">
        <v>545</v>
      </c>
      <c r="F113" s="64">
        <v>4861</v>
      </c>
      <c r="G113" s="21">
        <f t="shared" si="15"/>
        <v>0</v>
      </c>
      <c r="H113" s="21"/>
      <c r="I113" s="21"/>
      <c r="J113" s="84"/>
      <c r="K113" s="84"/>
      <c r="L113" s="84"/>
      <c r="M113" s="84"/>
    </row>
    <row r="114" spans="1:13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205</v>
      </c>
      <c r="F114" s="64"/>
      <c r="G114" s="21"/>
      <c r="H114" s="21"/>
      <c r="I114" s="21"/>
      <c r="J114" s="21"/>
      <c r="K114" s="21"/>
      <c r="L114" s="21"/>
      <c r="M114" s="21"/>
    </row>
    <row r="115" spans="1:13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595</v>
      </c>
      <c r="F116" s="64"/>
      <c r="G116" s="21"/>
      <c r="H116" s="21"/>
      <c r="I116" s="21"/>
      <c r="J116" s="21"/>
      <c r="K116" s="21"/>
      <c r="L116" s="21"/>
      <c r="M116" s="21"/>
    </row>
    <row r="117" spans="1:13" ht="40.5" x14ac:dyDescent="0.25">
      <c r="A117" s="64"/>
      <c r="B117" s="64"/>
      <c r="C117" s="64"/>
      <c r="D117" s="64"/>
      <c r="E117" s="71" t="s">
        <v>177</v>
      </c>
      <c r="F117" s="64"/>
      <c r="G117" s="21"/>
      <c r="H117" s="21"/>
      <c r="I117" s="21"/>
      <c r="J117" s="21"/>
      <c r="K117" s="21"/>
      <c r="L117" s="21"/>
      <c r="M117" s="21"/>
    </row>
    <row r="118" spans="1:13" x14ac:dyDescent="0.25">
      <c r="A118" s="64"/>
      <c r="B118" s="64"/>
      <c r="C118" s="64"/>
      <c r="D118" s="64"/>
      <c r="E118" s="71" t="s">
        <v>178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178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206</v>
      </c>
      <c r="F120" s="64"/>
      <c r="G120" s="21"/>
      <c r="H120" s="21"/>
      <c r="I120" s="21"/>
      <c r="J120" s="21"/>
      <c r="K120" s="21"/>
      <c r="L120" s="21"/>
      <c r="M120" s="21"/>
    </row>
    <row r="121" spans="1:13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206</v>
      </c>
      <c r="F122" s="64"/>
      <c r="G122" s="21"/>
      <c r="H122" s="21"/>
      <c r="I122" s="21"/>
      <c r="J122" s="21"/>
      <c r="K122" s="21"/>
      <c r="L122" s="21"/>
      <c r="M122" s="21"/>
    </row>
    <row r="123" spans="1:13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</row>
    <row r="124" spans="1:13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207</v>
      </c>
      <c r="F124" s="64"/>
      <c r="G124" s="21"/>
      <c r="H124" s="21"/>
      <c r="I124" s="21"/>
      <c r="J124" s="21"/>
      <c r="K124" s="21"/>
      <c r="L124" s="21"/>
      <c r="M124" s="21"/>
    </row>
    <row r="125" spans="1:13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208</v>
      </c>
      <c r="F125" s="64"/>
      <c r="G125" s="21"/>
      <c r="H125" s="21"/>
      <c r="I125" s="21"/>
      <c r="J125" s="21"/>
      <c r="K125" s="21"/>
      <c r="L125" s="21"/>
      <c r="M125" s="21"/>
    </row>
    <row r="126" spans="1:13" ht="27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546</v>
      </c>
      <c r="F126" s="64"/>
      <c r="G126" s="21"/>
      <c r="H126" s="21"/>
      <c r="I126" s="21"/>
      <c r="J126" s="21"/>
      <c r="K126" s="21"/>
      <c r="L126" s="21"/>
      <c r="M126" s="21"/>
    </row>
    <row r="127" spans="1:13" ht="40.5" x14ac:dyDescent="0.25">
      <c r="A127" s="64"/>
      <c r="B127" s="64"/>
      <c r="C127" s="64"/>
      <c r="D127" s="64"/>
      <c r="E127" s="71" t="s">
        <v>177</v>
      </c>
      <c r="F127" s="64"/>
      <c r="G127" s="21"/>
      <c r="H127" s="21"/>
      <c r="I127" s="21"/>
      <c r="J127" s="21"/>
      <c r="K127" s="21"/>
      <c r="L127" s="21"/>
      <c r="M127" s="21"/>
    </row>
    <row r="128" spans="1:13" x14ac:dyDescent="0.25">
      <c r="A128" s="64"/>
      <c r="B128" s="64"/>
      <c r="C128" s="64"/>
      <c r="D128" s="64"/>
      <c r="E128" s="71" t="s">
        <v>178</v>
      </c>
      <c r="F128" s="64"/>
      <c r="G128" s="21"/>
      <c r="H128" s="21"/>
      <c r="I128" s="21"/>
      <c r="J128" s="21"/>
      <c r="K128" s="21"/>
      <c r="L128" s="21"/>
      <c r="M128" s="21"/>
    </row>
    <row r="129" spans="1:13" x14ac:dyDescent="0.25">
      <c r="A129" s="64"/>
      <c r="B129" s="64"/>
      <c r="C129" s="64"/>
      <c r="D129" s="64"/>
      <c r="E129" s="71" t="s">
        <v>178</v>
      </c>
      <c r="F129" s="64"/>
      <c r="G129" s="21"/>
      <c r="H129" s="21"/>
      <c r="I129" s="21"/>
      <c r="J129" s="21"/>
      <c r="K129" s="21"/>
      <c r="L129" s="21"/>
      <c r="M129" s="21"/>
    </row>
    <row r="130" spans="1:13" ht="27" x14ac:dyDescent="0.25">
      <c r="A130" s="64">
        <v>2200</v>
      </c>
      <c r="B130" s="64" t="s">
        <v>7</v>
      </c>
      <c r="C130" s="64">
        <v>0</v>
      </c>
      <c r="D130" s="64">
        <v>0</v>
      </c>
      <c r="E130" s="71" t="s">
        <v>209</v>
      </c>
      <c r="F130" s="64"/>
      <c r="G130" s="21">
        <f t="shared" ref="G130:M130" si="16">G131+G138+G144+G150+G154</f>
        <v>2400</v>
      </c>
      <c r="H130" s="21">
        <f t="shared" si="16"/>
        <v>2400</v>
      </c>
      <c r="I130" s="21">
        <f t="shared" si="16"/>
        <v>0</v>
      </c>
      <c r="J130" s="21">
        <f t="shared" si="16"/>
        <v>588.14229249011862</v>
      </c>
      <c r="K130" s="21">
        <f t="shared" si="16"/>
        <v>1166.798418972332</v>
      </c>
      <c r="L130" s="21">
        <f t="shared" si="16"/>
        <v>1783.399209486166</v>
      </c>
      <c r="M130" s="21">
        <f t="shared" si="16"/>
        <v>2400</v>
      </c>
    </row>
    <row r="131" spans="1:13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210</v>
      </c>
      <c r="F132" s="64"/>
      <c r="G132" s="21"/>
      <c r="H132" s="21"/>
      <c r="I132" s="21"/>
      <c r="J132" s="21"/>
      <c r="K132" s="21"/>
      <c r="L132" s="21"/>
      <c r="M132" s="21"/>
    </row>
    <row r="133" spans="1:13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211</v>
      </c>
      <c r="F134" s="64"/>
      <c r="G134" s="21"/>
      <c r="H134" s="21"/>
      <c r="I134" s="21"/>
      <c r="J134" s="21"/>
      <c r="K134" s="21"/>
      <c r="L134" s="21"/>
      <c r="M134" s="21"/>
    </row>
    <row r="135" spans="1:13" ht="40.5" x14ac:dyDescent="0.25">
      <c r="A135" s="64"/>
      <c r="B135" s="64"/>
      <c r="C135" s="64"/>
      <c r="D135" s="64"/>
      <c r="E135" s="71" t="s">
        <v>177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/>
      <c r="B136" s="64"/>
      <c r="C136" s="64"/>
      <c r="D136" s="64"/>
      <c r="E136" s="71" t="s">
        <v>178</v>
      </c>
      <c r="F136" s="64"/>
      <c r="G136" s="21"/>
      <c r="H136" s="21"/>
      <c r="I136" s="21"/>
      <c r="J136" s="21"/>
      <c r="K136" s="21"/>
      <c r="L136" s="21"/>
      <c r="M136" s="21"/>
    </row>
    <row r="137" spans="1:13" x14ac:dyDescent="0.25">
      <c r="A137" s="64"/>
      <c r="B137" s="64"/>
      <c r="C137" s="64"/>
      <c r="D137" s="64"/>
      <c r="E137" s="71" t="s">
        <v>178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212</v>
      </c>
      <c r="F138" s="64"/>
      <c r="G138" s="21"/>
      <c r="H138" s="21"/>
      <c r="I138" s="21"/>
      <c r="J138" s="21"/>
      <c r="K138" s="21"/>
      <c r="L138" s="21"/>
      <c r="M138" s="21"/>
    </row>
    <row r="139" spans="1:13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212</v>
      </c>
      <c r="F140" s="64"/>
      <c r="G140" s="21"/>
      <c r="H140" s="21"/>
      <c r="I140" s="21"/>
      <c r="J140" s="21"/>
      <c r="K140" s="21"/>
      <c r="L140" s="21"/>
      <c r="M140" s="21"/>
    </row>
    <row r="141" spans="1:13" ht="40.5" x14ac:dyDescent="0.25">
      <c r="A141" s="64"/>
      <c r="B141" s="64"/>
      <c r="C141" s="64"/>
      <c r="D141" s="64"/>
      <c r="E141" s="71" t="s">
        <v>177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/>
      <c r="B142" s="64"/>
      <c r="C142" s="64"/>
      <c r="D142" s="64"/>
      <c r="E142" s="71" t="s">
        <v>178</v>
      </c>
      <c r="F142" s="64"/>
      <c r="G142" s="21"/>
      <c r="H142" s="21"/>
      <c r="I142" s="21"/>
      <c r="J142" s="21"/>
      <c r="K142" s="21"/>
      <c r="L142" s="21"/>
      <c r="M142" s="21"/>
    </row>
    <row r="143" spans="1:13" x14ac:dyDescent="0.25">
      <c r="A143" s="64"/>
      <c r="B143" s="64"/>
      <c r="C143" s="64"/>
      <c r="D143" s="64"/>
      <c r="E143" s="71" t="s">
        <v>178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214</v>
      </c>
      <c r="F144" s="64"/>
      <c r="G144" s="21"/>
      <c r="H144" s="21"/>
      <c r="I144" s="21"/>
      <c r="J144" s="21"/>
      <c r="K144" s="21"/>
      <c r="L144" s="21"/>
      <c r="M144" s="21"/>
    </row>
    <row r="145" spans="1:13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</row>
    <row r="146" spans="1:13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215</v>
      </c>
      <c r="F146" s="64"/>
      <c r="G146" s="21"/>
      <c r="H146" s="21"/>
      <c r="I146" s="21"/>
      <c r="J146" s="21"/>
      <c r="K146" s="21"/>
      <c r="L146" s="21"/>
      <c r="M146" s="21"/>
    </row>
    <row r="147" spans="1:13" ht="40.5" x14ac:dyDescent="0.25">
      <c r="A147" s="64"/>
      <c r="B147" s="64"/>
      <c r="C147" s="64"/>
      <c r="D147" s="64"/>
      <c r="E147" s="71" t="s">
        <v>177</v>
      </c>
      <c r="F147" s="64"/>
      <c r="G147" s="21"/>
      <c r="H147" s="21"/>
      <c r="I147" s="21"/>
      <c r="J147" s="21"/>
      <c r="K147" s="21"/>
      <c r="L147" s="21"/>
      <c r="M147" s="21"/>
    </row>
    <row r="148" spans="1:13" x14ac:dyDescent="0.25">
      <c r="A148" s="64"/>
      <c r="B148" s="64"/>
      <c r="C148" s="64"/>
      <c r="D148" s="64"/>
      <c r="E148" s="71" t="s">
        <v>178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178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216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216</v>
      </c>
      <c r="F152" s="64"/>
      <c r="G152" s="21"/>
      <c r="H152" s="21"/>
      <c r="I152" s="21"/>
      <c r="J152" s="21"/>
      <c r="K152" s="21"/>
      <c r="L152" s="21"/>
      <c r="M152" s="21"/>
    </row>
    <row r="153" spans="1:13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2250</v>
      </c>
      <c r="B154" s="64" t="s">
        <v>7</v>
      </c>
      <c r="C154" s="64">
        <v>5</v>
      </c>
      <c r="D154" s="64">
        <v>0</v>
      </c>
      <c r="E154" s="71" t="s">
        <v>217</v>
      </c>
      <c r="F154" s="64"/>
      <c r="G154" s="21">
        <f t="shared" ref="G154:M154" si="17">G156</f>
        <v>2400</v>
      </c>
      <c r="H154" s="21">
        <f t="shared" si="17"/>
        <v>2400</v>
      </c>
      <c r="I154" s="21">
        <f t="shared" si="17"/>
        <v>0</v>
      </c>
      <c r="J154" s="21">
        <f t="shared" si="17"/>
        <v>588.14229249011862</v>
      </c>
      <c r="K154" s="21">
        <f t="shared" si="17"/>
        <v>1166.798418972332</v>
      </c>
      <c r="L154" s="21">
        <f t="shared" si="17"/>
        <v>1783.399209486166</v>
      </c>
      <c r="M154" s="21">
        <f t="shared" si="17"/>
        <v>2400</v>
      </c>
    </row>
    <row r="155" spans="1:13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</row>
    <row r="156" spans="1:13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217</v>
      </c>
      <c r="F156" s="64"/>
      <c r="G156" s="21">
        <f>+G158+G159+G160+G161+G162</f>
        <v>2400</v>
      </c>
      <c r="H156" s="21">
        <f t="shared" ref="H156:M156" si="18">+H158+H159+H160+H161+H162</f>
        <v>2400</v>
      </c>
      <c r="I156" s="21">
        <f t="shared" si="18"/>
        <v>0</v>
      </c>
      <c r="J156" s="21">
        <f t="shared" si="18"/>
        <v>588.14229249011862</v>
      </c>
      <c r="K156" s="21">
        <f t="shared" si="18"/>
        <v>1166.798418972332</v>
      </c>
      <c r="L156" s="21">
        <f t="shared" si="18"/>
        <v>1783.399209486166</v>
      </c>
      <c r="M156" s="21">
        <f t="shared" si="18"/>
        <v>2400</v>
      </c>
    </row>
    <row r="157" spans="1:13" ht="40.5" x14ac:dyDescent="0.25">
      <c r="A157" s="64"/>
      <c r="B157" s="64"/>
      <c r="C157" s="64"/>
      <c r="D157" s="64"/>
      <c r="E157" s="71" t="s">
        <v>177</v>
      </c>
      <c r="F157" s="12"/>
      <c r="G157" s="12"/>
      <c r="H157" s="12"/>
      <c r="I157" s="21"/>
      <c r="J157" s="21"/>
      <c r="K157" s="21"/>
      <c r="L157" s="21"/>
      <c r="M157" s="21"/>
    </row>
    <row r="158" spans="1:13" x14ac:dyDescent="0.25">
      <c r="A158" s="64"/>
      <c r="B158" s="64"/>
      <c r="C158" s="64"/>
      <c r="D158" s="64"/>
      <c r="E158" s="212" t="s">
        <v>414</v>
      </c>
      <c r="F158" s="64">
        <v>4261</v>
      </c>
      <c r="G158" s="21">
        <f>+H158+I158</f>
        <v>600</v>
      </c>
      <c r="H158" s="21">
        <v>600</v>
      </c>
      <c r="I158" s="21"/>
      <c r="J158" s="146">
        <f>+G158/253*62</f>
        <v>147.03557312252966</v>
      </c>
      <c r="K158" s="146">
        <f>+G158/253*123</f>
        <v>291.699604743083</v>
      </c>
      <c r="L158" s="146">
        <f>+G158/253*188</f>
        <v>445.8498023715415</v>
      </c>
      <c r="M158" s="146">
        <f>+G158</f>
        <v>600</v>
      </c>
    </row>
    <row r="159" spans="1:13" x14ac:dyDescent="0.25">
      <c r="A159" s="64"/>
      <c r="B159" s="64"/>
      <c r="C159" s="64"/>
      <c r="D159" s="64"/>
      <c r="E159" s="226" t="s">
        <v>547</v>
      </c>
      <c r="F159" s="64">
        <v>4264</v>
      </c>
      <c r="G159" s="21">
        <f>+H159+I159</f>
        <v>800</v>
      </c>
      <c r="H159" s="21">
        <v>800</v>
      </c>
      <c r="I159" s="21"/>
      <c r="J159" s="146">
        <f>+G159/253*62</f>
        <v>196.04743083003953</v>
      </c>
      <c r="K159" s="146">
        <f>+G159/253*123</f>
        <v>388.93280632411069</v>
      </c>
      <c r="L159" s="146">
        <f>+G159/253*188</f>
        <v>594.46640316205537</v>
      </c>
      <c r="M159" s="146">
        <f>+G159</f>
        <v>800</v>
      </c>
    </row>
    <row r="160" spans="1:13" x14ac:dyDescent="0.25">
      <c r="A160" s="64"/>
      <c r="B160" s="64"/>
      <c r="C160" s="64"/>
      <c r="D160" s="64"/>
      <c r="E160" s="71" t="s">
        <v>750</v>
      </c>
      <c r="F160" s="64" t="s">
        <v>50</v>
      </c>
      <c r="G160" s="21">
        <f>+H160+I160</f>
        <v>0</v>
      </c>
      <c r="H160" s="21"/>
      <c r="I160" s="21"/>
      <c r="J160" s="84"/>
      <c r="K160" s="84"/>
      <c r="L160" s="84"/>
      <c r="M160" s="84"/>
    </row>
    <row r="161" spans="1:13" ht="27" x14ac:dyDescent="0.25">
      <c r="A161" s="64"/>
      <c r="B161" s="64"/>
      <c r="C161" s="64"/>
      <c r="D161" s="64"/>
      <c r="E161" s="71" t="s">
        <v>556</v>
      </c>
      <c r="F161" s="64" t="s">
        <v>61</v>
      </c>
      <c r="G161" s="21"/>
      <c r="H161" s="21"/>
      <c r="I161" s="21"/>
      <c r="J161" s="84"/>
      <c r="K161" s="84"/>
      <c r="L161" s="84"/>
      <c r="M161" s="84"/>
    </row>
    <row r="162" spans="1:13" x14ac:dyDescent="0.25">
      <c r="A162" s="64"/>
      <c r="B162" s="64"/>
      <c r="C162" s="64"/>
      <c r="D162" s="64"/>
      <c r="E162" s="71" t="s">
        <v>166</v>
      </c>
      <c r="F162" s="64" t="s">
        <v>40</v>
      </c>
      <c r="G162" s="21">
        <f>+H162+I162</f>
        <v>1000</v>
      </c>
      <c r="H162" s="21">
        <v>1000</v>
      </c>
      <c r="I162" s="21"/>
      <c r="J162" s="146">
        <f>+G162/253*62</f>
        <v>245.05928853754941</v>
      </c>
      <c r="K162" s="146">
        <f>+G162/253*123</f>
        <v>486.16600790513831</v>
      </c>
      <c r="L162" s="146">
        <f>+G162/253*188</f>
        <v>743.08300395256913</v>
      </c>
      <c r="M162" s="146">
        <f>+G162</f>
        <v>1000</v>
      </c>
    </row>
    <row r="163" spans="1:13" ht="54" x14ac:dyDescent="0.25">
      <c r="A163" s="64">
        <v>2300</v>
      </c>
      <c r="B163" s="64" t="s">
        <v>8</v>
      </c>
      <c r="C163" s="64">
        <v>0</v>
      </c>
      <c r="D163" s="64">
        <v>0</v>
      </c>
      <c r="E163" s="71" t="s">
        <v>218</v>
      </c>
      <c r="F163" s="64"/>
      <c r="G163" s="21"/>
      <c r="H163" s="21"/>
      <c r="I163" s="21"/>
      <c r="J163" s="21"/>
      <c r="K163" s="21"/>
      <c r="L163" s="21"/>
      <c r="M163" s="21"/>
    </row>
    <row r="164" spans="1:13" x14ac:dyDescent="0.25">
      <c r="A164" s="64"/>
      <c r="B164" s="64"/>
      <c r="C164" s="64"/>
      <c r="D164" s="64"/>
      <c r="E164" s="71" t="s">
        <v>154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2310</v>
      </c>
      <c r="B165" s="64" t="s">
        <v>8</v>
      </c>
      <c r="C165" s="64">
        <v>1</v>
      </c>
      <c r="D165" s="64">
        <v>0</v>
      </c>
      <c r="E165" s="71" t="s">
        <v>219</v>
      </c>
      <c r="F165" s="64"/>
      <c r="G165" s="21"/>
      <c r="H165" s="21"/>
      <c r="I165" s="21"/>
      <c r="J165" s="21"/>
      <c r="K165" s="21"/>
      <c r="L165" s="21"/>
      <c r="M165" s="21"/>
    </row>
    <row r="166" spans="1:13" x14ac:dyDescent="0.25">
      <c r="A166" s="64"/>
      <c r="B166" s="64"/>
      <c r="C166" s="64"/>
      <c r="D166" s="64"/>
      <c r="E166" s="71" t="s">
        <v>156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>
        <v>2311</v>
      </c>
      <c r="B167" s="64" t="s">
        <v>8</v>
      </c>
      <c r="C167" s="64">
        <v>1</v>
      </c>
      <c r="D167" s="64">
        <v>1</v>
      </c>
      <c r="E167" s="71" t="s">
        <v>220</v>
      </c>
      <c r="F167" s="64"/>
      <c r="G167" s="21"/>
      <c r="H167" s="21"/>
      <c r="I167" s="21"/>
      <c r="J167" s="21"/>
      <c r="K167" s="21"/>
      <c r="L167" s="21"/>
      <c r="M167" s="21"/>
    </row>
    <row r="168" spans="1:13" ht="40.5" x14ac:dyDescent="0.25">
      <c r="A168" s="64"/>
      <c r="B168" s="64"/>
      <c r="C168" s="64"/>
      <c r="D168" s="64"/>
      <c r="E168" s="71" t="s">
        <v>177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/>
      <c r="B169" s="64"/>
      <c r="C169" s="64"/>
      <c r="D169" s="64"/>
      <c r="E169" s="71" t="s">
        <v>178</v>
      </c>
      <c r="F169" s="64"/>
      <c r="G169" s="21"/>
      <c r="H169" s="21"/>
      <c r="I169" s="21"/>
      <c r="J169" s="21"/>
      <c r="K169" s="21"/>
      <c r="L169" s="21"/>
      <c r="M169" s="21"/>
    </row>
    <row r="170" spans="1:13" x14ac:dyDescent="0.25">
      <c r="A170" s="64"/>
      <c r="B170" s="64"/>
      <c r="C170" s="64"/>
      <c r="D170" s="64"/>
      <c r="E170" s="71" t="s">
        <v>178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>
        <v>2312</v>
      </c>
      <c r="B171" s="64" t="s">
        <v>8</v>
      </c>
      <c r="C171" s="64">
        <v>1</v>
      </c>
      <c r="D171" s="64">
        <v>2</v>
      </c>
      <c r="E171" s="71" t="s">
        <v>221</v>
      </c>
      <c r="F171" s="64"/>
      <c r="G171" s="21"/>
      <c r="H171" s="21"/>
      <c r="I171" s="21"/>
      <c r="J171" s="21"/>
      <c r="K171" s="21"/>
      <c r="L171" s="21"/>
      <c r="M171" s="21"/>
    </row>
    <row r="172" spans="1:13" ht="40.5" x14ac:dyDescent="0.25">
      <c r="A172" s="64"/>
      <c r="B172" s="64"/>
      <c r="C172" s="64"/>
      <c r="D172" s="64"/>
      <c r="E172" s="71" t="s">
        <v>177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/>
      <c r="B173" s="64"/>
      <c r="C173" s="64"/>
      <c r="D173" s="64"/>
      <c r="E173" s="71" t="s">
        <v>178</v>
      </c>
      <c r="F173" s="64"/>
      <c r="G173" s="21"/>
      <c r="H173" s="21"/>
      <c r="I173" s="21"/>
      <c r="J173" s="21"/>
      <c r="K173" s="21"/>
      <c r="L173" s="21"/>
      <c r="M173" s="21"/>
    </row>
    <row r="174" spans="1:13" x14ac:dyDescent="0.25">
      <c r="A174" s="64"/>
      <c r="B174" s="64"/>
      <c r="C174" s="64"/>
      <c r="D174" s="64"/>
      <c r="E174" s="71" t="s">
        <v>178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>
        <v>2313</v>
      </c>
      <c r="B175" s="64" t="s">
        <v>8</v>
      </c>
      <c r="C175" s="64">
        <v>1</v>
      </c>
      <c r="D175" s="64">
        <v>3</v>
      </c>
      <c r="E175" s="71" t="s">
        <v>222</v>
      </c>
      <c r="F175" s="64"/>
      <c r="G175" s="21"/>
      <c r="H175" s="21"/>
      <c r="I175" s="21"/>
      <c r="J175" s="21"/>
      <c r="K175" s="21"/>
      <c r="L175" s="21"/>
      <c r="M175" s="21"/>
    </row>
    <row r="176" spans="1:13" ht="40.5" x14ac:dyDescent="0.25">
      <c r="A176" s="64"/>
      <c r="B176" s="64"/>
      <c r="C176" s="64"/>
      <c r="D176" s="64"/>
      <c r="E176" s="71" t="s">
        <v>177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/>
      <c r="B177" s="64"/>
      <c r="C177" s="64"/>
      <c r="D177" s="64"/>
      <c r="E177" s="71" t="s">
        <v>178</v>
      </c>
      <c r="F177" s="64"/>
      <c r="G177" s="21"/>
      <c r="H177" s="21"/>
      <c r="I177" s="21"/>
      <c r="J177" s="21"/>
      <c r="K177" s="21"/>
      <c r="L177" s="21"/>
      <c r="M177" s="21"/>
    </row>
    <row r="178" spans="1:13" x14ac:dyDescent="0.25">
      <c r="A178" s="64"/>
      <c r="B178" s="64"/>
      <c r="C178" s="64"/>
      <c r="D178" s="64"/>
      <c r="E178" s="71" t="s">
        <v>178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2320</v>
      </c>
      <c r="B179" s="64" t="s">
        <v>8</v>
      </c>
      <c r="C179" s="64">
        <v>2</v>
      </c>
      <c r="D179" s="64">
        <v>0</v>
      </c>
      <c r="E179" s="71" t="s">
        <v>223</v>
      </c>
      <c r="F179" s="64"/>
      <c r="G179" s="21"/>
      <c r="H179" s="21"/>
      <c r="I179" s="21"/>
      <c r="J179" s="21"/>
      <c r="K179" s="21"/>
      <c r="L179" s="21"/>
      <c r="M179" s="21"/>
    </row>
    <row r="180" spans="1:13" x14ac:dyDescent="0.25">
      <c r="A180" s="64"/>
      <c r="B180" s="64"/>
      <c r="C180" s="64"/>
      <c r="D180" s="64"/>
      <c r="E180" s="71" t="s">
        <v>156</v>
      </c>
      <c r="F180" s="64"/>
      <c r="G180" s="21"/>
      <c r="H180" s="21"/>
      <c r="I180" s="21"/>
      <c r="J180" s="21"/>
      <c r="K180" s="21"/>
      <c r="L180" s="21"/>
      <c r="M180" s="21"/>
    </row>
    <row r="181" spans="1:13" x14ac:dyDescent="0.25">
      <c r="A181" s="64">
        <v>2321</v>
      </c>
      <c r="B181" s="64" t="s">
        <v>8</v>
      </c>
      <c r="C181" s="64">
        <v>2</v>
      </c>
      <c r="D181" s="64">
        <v>1</v>
      </c>
      <c r="E181" s="71" t="s">
        <v>224</v>
      </c>
      <c r="F181" s="64"/>
      <c r="G181" s="21"/>
      <c r="H181" s="21"/>
      <c r="I181" s="21"/>
      <c r="J181" s="21"/>
      <c r="K181" s="21"/>
      <c r="L181" s="21"/>
      <c r="M181" s="21"/>
    </row>
    <row r="182" spans="1:13" ht="40.5" x14ac:dyDescent="0.25">
      <c r="A182" s="64"/>
      <c r="B182" s="64"/>
      <c r="C182" s="64"/>
      <c r="D182" s="64"/>
      <c r="E182" s="71" t="s">
        <v>177</v>
      </c>
      <c r="F182" s="64"/>
      <c r="G182" s="21"/>
      <c r="H182" s="21"/>
      <c r="I182" s="21"/>
      <c r="J182" s="21"/>
      <c r="K182" s="21"/>
      <c r="L182" s="21"/>
      <c r="M182" s="21"/>
    </row>
    <row r="183" spans="1:13" x14ac:dyDescent="0.25">
      <c r="A183" s="64"/>
      <c r="B183" s="64"/>
      <c r="C183" s="64"/>
      <c r="D183" s="64"/>
      <c r="E183" s="71" t="s">
        <v>178</v>
      </c>
      <c r="F183" s="64"/>
      <c r="G183" s="21"/>
      <c r="H183" s="21"/>
      <c r="I183" s="21"/>
      <c r="J183" s="21"/>
      <c r="K183" s="21"/>
      <c r="L183" s="21"/>
      <c r="M183" s="21"/>
    </row>
    <row r="184" spans="1:13" x14ac:dyDescent="0.25">
      <c r="A184" s="64"/>
      <c r="B184" s="64"/>
      <c r="C184" s="64"/>
      <c r="D184" s="64"/>
      <c r="E184" s="71" t="s">
        <v>178</v>
      </c>
      <c r="F184" s="64"/>
      <c r="G184" s="21"/>
      <c r="H184" s="21"/>
      <c r="I184" s="21"/>
      <c r="J184" s="21"/>
      <c r="K184" s="21"/>
      <c r="L184" s="21"/>
      <c r="M184" s="21"/>
    </row>
    <row r="185" spans="1:13" ht="27" x14ac:dyDescent="0.25">
      <c r="A185" s="64">
        <v>2330</v>
      </c>
      <c r="B185" s="64" t="s">
        <v>8</v>
      </c>
      <c r="C185" s="64">
        <v>3</v>
      </c>
      <c r="D185" s="64">
        <v>0</v>
      </c>
      <c r="E185" s="71" t="s">
        <v>225</v>
      </c>
      <c r="F185" s="64"/>
      <c r="G185" s="21"/>
      <c r="H185" s="21"/>
      <c r="I185" s="21"/>
      <c r="J185" s="21"/>
      <c r="K185" s="21"/>
      <c r="L185" s="21"/>
      <c r="M185" s="21"/>
    </row>
    <row r="186" spans="1:13" x14ac:dyDescent="0.25">
      <c r="A186" s="64"/>
      <c r="B186" s="64"/>
      <c r="C186" s="64"/>
      <c r="D186" s="64"/>
      <c r="E186" s="71" t="s">
        <v>156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>
        <v>2331</v>
      </c>
      <c r="B187" s="64" t="s">
        <v>8</v>
      </c>
      <c r="C187" s="64">
        <v>3</v>
      </c>
      <c r="D187" s="64">
        <v>1</v>
      </c>
      <c r="E187" s="71" t="s">
        <v>226</v>
      </c>
      <c r="F187" s="64"/>
      <c r="G187" s="21"/>
      <c r="H187" s="21"/>
      <c r="I187" s="21"/>
      <c r="J187" s="21"/>
      <c r="K187" s="21"/>
      <c r="L187" s="21"/>
      <c r="M187" s="21"/>
    </row>
    <row r="188" spans="1:13" ht="40.5" x14ac:dyDescent="0.25">
      <c r="A188" s="64"/>
      <c r="B188" s="64"/>
      <c r="C188" s="64"/>
      <c r="D188" s="64"/>
      <c r="E188" s="71" t="s">
        <v>177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/>
      <c r="B189" s="64"/>
      <c r="C189" s="64"/>
      <c r="D189" s="64"/>
      <c r="E189" s="71" t="s">
        <v>178</v>
      </c>
      <c r="F189" s="64"/>
      <c r="G189" s="21"/>
      <c r="H189" s="21"/>
      <c r="I189" s="21"/>
      <c r="J189" s="21"/>
      <c r="K189" s="21"/>
      <c r="L189" s="21"/>
      <c r="M189" s="21"/>
    </row>
    <row r="190" spans="1:13" x14ac:dyDescent="0.25">
      <c r="A190" s="64"/>
      <c r="B190" s="64"/>
      <c r="C190" s="64"/>
      <c r="D190" s="64"/>
      <c r="E190" s="71" t="s">
        <v>178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>
        <v>2332</v>
      </c>
      <c r="B191" s="64" t="s">
        <v>8</v>
      </c>
      <c r="C191" s="64">
        <v>3</v>
      </c>
      <c r="D191" s="64">
        <v>2</v>
      </c>
      <c r="E191" s="71" t="s">
        <v>227</v>
      </c>
      <c r="F191" s="64"/>
      <c r="G191" s="21"/>
      <c r="H191" s="21"/>
      <c r="I191" s="21"/>
      <c r="J191" s="21"/>
      <c r="K191" s="21"/>
      <c r="L191" s="21"/>
      <c r="M191" s="21"/>
    </row>
    <row r="192" spans="1:13" ht="40.5" x14ac:dyDescent="0.25">
      <c r="A192" s="64"/>
      <c r="B192" s="64"/>
      <c r="C192" s="64"/>
      <c r="D192" s="64"/>
      <c r="E192" s="71" t="s">
        <v>177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/>
      <c r="B193" s="64"/>
      <c r="C193" s="64"/>
      <c r="D193" s="64"/>
      <c r="E193" s="71" t="s">
        <v>178</v>
      </c>
      <c r="F193" s="64"/>
      <c r="G193" s="21"/>
      <c r="H193" s="21"/>
      <c r="I193" s="21"/>
      <c r="J193" s="21"/>
      <c r="K193" s="21"/>
      <c r="L193" s="21"/>
      <c r="M193" s="21"/>
    </row>
    <row r="194" spans="1:13" x14ac:dyDescent="0.25">
      <c r="A194" s="64"/>
      <c r="B194" s="64"/>
      <c r="C194" s="64"/>
      <c r="D194" s="64"/>
      <c r="E194" s="71" t="s">
        <v>178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2340</v>
      </c>
      <c r="B195" s="64" t="s">
        <v>8</v>
      </c>
      <c r="C195" s="64">
        <v>4</v>
      </c>
      <c r="D195" s="64">
        <v>0</v>
      </c>
      <c r="E195" s="71" t="s">
        <v>228</v>
      </c>
      <c r="F195" s="64"/>
      <c r="G195" s="21"/>
      <c r="H195" s="21"/>
      <c r="I195" s="21"/>
      <c r="J195" s="21"/>
      <c r="K195" s="21"/>
      <c r="L195" s="21"/>
      <c r="M195" s="21"/>
    </row>
    <row r="196" spans="1:13" x14ac:dyDescent="0.25">
      <c r="A196" s="64"/>
      <c r="B196" s="64"/>
      <c r="C196" s="64"/>
      <c r="D196" s="64"/>
      <c r="E196" s="71" t="s">
        <v>156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>
        <v>2341</v>
      </c>
      <c r="B197" s="64" t="s">
        <v>8</v>
      </c>
      <c r="C197" s="64">
        <v>4</v>
      </c>
      <c r="D197" s="64">
        <v>1</v>
      </c>
      <c r="E197" s="71" t="s">
        <v>228</v>
      </c>
      <c r="F197" s="64"/>
      <c r="G197" s="21"/>
      <c r="H197" s="21"/>
      <c r="I197" s="21"/>
      <c r="J197" s="21"/>
      <c r="K197" s="21"/>
      <c r="L197" s="21"/>
      <c r="M197" s="21"/>
    </row>
    <row r="198" spans="1:13" ht="40.5" x14ac:dyDescent="0.25">
      <c r="A198" s="64"/>
      <c r="B198" s="64"/>
      <c r="C198" s="64"/>
      <c r="D198" s="64"/>
      <c r="E198" s="71" t="s">
        <v>177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/>
      <c r="B199" s="64"/>
      <c r="C199" s="64"/>
      <c r="D199" s="64"/>
      <c r="E199" s="71" t="s">
        <v>178</v>
      </c>
      <c r="F199" s="64"/>
      <c r="G199" s="21"/>
      <c r="H199" s="21"/>
      <c r="I199" s="21"/>
      <c r="J199" s="21"/>
      <c r="K199" s="21"/>
      <c r="L199" s="21"/>
      <c r="M199" s="21"/>
    </row>
    <row r="200" spans="1:13" x14ac:dyDescent="0.25">
      <c r="A200" s="64"/>
      <c r="B200" s="64"/>
      <c r="C200" s="64"/>
      <c r="D200" s="64"/>
      <c r="E200" s="71" t="s">
        <v>178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2350</v>
      </c>
      <c r="B201" s="64" t="s">
        <v>8</v>
      </c>
      <c r="C201" s="64">
        <v>5</v>
      </c>
      <c r="D201" s="64">
        <v>0</v>
      </c>
      <c r="E201" s="71" t="s">
        <v>229</v>
      </c>
      <c r="F201" s="64"/>
      <c r="G201" s="21"/>
      <c r="H201" s="21"/>
      <c r="I201" s="21"/>
      <c r="J201" s="21"/>
      <c r="K201" s="21"/>
      <c r="L201" s="21"/>
      <c r="M201" s="21"/>
    </row>
    <row r="202" spans="1:13" x14ac:dyDescent="0.25">
      <c r="A202" s="64"/>
      <c r="B202" s="64"/>
      <c r="C202" s="64"/>
      <c r="D202" s="64"/>
      <c r="E202" s="71" t="s">
        <v>156</v>
      </c>
      <c r="F202" s="64"/>
      <c r="G202" s="21"/>
      <c r="H202" s="21"/>
      <c r="I202" s="21"/>
      <c r="J202" s="21"/>
      <c r="K202" s="21"/>
      <c r="L202" s="21"/>
      <c r="M202" s="21"/>
    </row>
    <row r="203" spans="1:13" x14ac:dyDescent="0.25">
      <c r="A203" s="64">
        <v>2351</v>
      </c>
      <c r="B203" s="64" t="s">
        <v>8</v>
      </c>
      <c r="C203" s="64">
        <v>5</v>
      </c>
      <c r="D203" s="64">
        <v>1</v>
      </c>
      <c r="E203" s="71" t="s">
        <v>230</v>
      </c>
      <c r="F203" s="64"/>
      <c r="G203" s="21"/>
      <c r="H203" s="21"/>
      <c r="I203" s="21"/>
      <c r="J203" s="21"/>
      <c r="K203" s="21"/>
      <c r="L203" s="21"/>
      <c r="M203" s="21"/>
    </row>
    <row r="204" spans="1:13" ht="40.5" x14ac:dyDescent="0.25">
      <c r="A204" s="64"/>
      <c r="B204" s="64"/>
      <c r="C204" s="64"/>
      <c r="D204" s="64"/>
      <c r="E204" s="71" t="s">
        <v>177</v>
      </c>
      <c r="F204" s="64"/>
      <c r="G204" s="21"/>
      <c r="H204" s="21"/>
      <c r="I204" s="21"/>
      <c r="J204" s="21"/>
      <c r="K204" s="21"/>
      <c r="L204" s="21"/>
      <c r="M204" s="21"/>
    </row>
    <row r="205" spans="1:13" x14ac:dyDescent="0.25">
      <c r="A205" s="64"/>
      <c r="B205" s="64"/>
      <c r="C205" s="64"/>
      <c r="D205" s="64"/>
      <c r="E205" s="71" t="s">
        <v>178</v>
      </c>
      <c r="F205" s="64"/>
      <c r="G205" s="21"/>
      <c r="H205" s="21"/>
      <c r="I205" s="21"/>
      <c r="J205" s="21"/>
      <c r="K205" s="21"/>
      <c r="L205" s="21"/>
      <c r="M205" s="21"/>
    </row>
    <row r="206" spans="1:13" x14ac:dyDescent="0.25">
      <c r="A206" s="64"/>
      <c r="B206" s="64"/>
      <c r="C206" s="64"/>
      <c r="D206" s="64"/>
      <c r="E206" s="71" t="s">
        <v>178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2360</v>
      </c>
      <c r="B207" s="64" t="s">
        <v>8</v>
      </c>
      <c r="C207" s="64">
        <v>6</v>
      </c>
      <c r="D207" s="64">
        <v>0</v>
      </c>
      <c r="E207" s="71" t="s">
        <v>231</v>
      </c>
      <c r="F207" s="64"/>
      <c r="G207" s="21"/>
      <c r="H207" s="21"/>
      <c r="I207" s="21"/>
      <c r="J207" s="21"/>
      <c r="K207" s="21"/>
      <c r="L207" s="21"/>
      <c r="M207" s="21"/>
    </row>
    <row r="208" spans="1:13" x14ac:dyDescent="0.25">
      <c r="A208" s="64"/>
      <c r="B208" s="64"/>
      <c r="C208" s="64"/>
      <c r="D208" s="64"/>
      <c r="E208" s="71" t="s">
        <v>156</v>
      </c>
      <c r="F208" s="64"/>
      <c r="G208" s="21"/>
      <c r="H208" s="21"/>
      <c r="I208" s="21"/>
      <c r="J208" s="21"/>
      <c r="K208" s="21"/>
      <c r="L208" s="21"/>
      <c r="M208" s="21"/>
    </row>
    <row r="209" spans="1:13" ht="40.5" x14ac:dyDescent="0.25">
      <c r="A209" s="64">
        <v>2361</v>
      </c>
      <c r="B209" s="64" t="s">
        <v>8</v>
      </c>
      <c r="C209" s="64">
        <v>6</v>
      </c>
      <c r="D209" s="64">
        <v>1</v>
      </c>
      <c r="E209" s="71" t="s">
        <v>231</v>
      </c>
      <c r="F209" s="64"/>
      <c r="G209" s="21"/>
      <c r="H209" s="21"/>
      <c r="I209" s="21"/>
      <c r="J209" s="21"/>
      <c r="K209" s="21"/>
      <c r="L209" s="21"/>
      <c r="M209" s="21"/>
    </row>
    <row r="210" spans="1:13" ht="40.5" x14ac:dyDescent="0.25">
      <c r="A210" s="64"/>
      <c r="B210" s="64"/>
      <c r="C210" s="64"/>
      <c r="D210" s="64"/>
      <c r="E210" s="71" t="s">
        <v>177</v>
      </c>
      <c r="F210" s="64"/>
      <c r="G210" s="21"/>
      <c r="H210" s="21"/>
      <c r="I210" s="21"/>
      <c r="J210" s="21"/>
      <c r="K210" s="21"/>
      <c r="L210" s="21"/>
      <c r="M210" s="21"/>
    </row>
    <row r="211" spans="1:13" x14ac:dyDescent="0.25">
      <c r="A211" s="64"/>
      <c r="B211" s="64"/>
      <c r="C211" s="64"/>
      <c r="D211" s="64"/>
      <c r="E211" s="71" t="s">
        <v>178</v>
      </c>
      <c r="F211" s="64"/>
      <c r="G211" s="21"/>
      <c r="H211" s="21"/>
      <c r="I211" s="21"/>
      <c r="J211" s="21"/>
      <c r="K211" s="21"/>
      <c r="L211" s="21"/>
      <c r="M211" s="21"/>
    </row>
    <row r="212" spans="1:13" x14ac:dyDescent="0.25">
      <c r="A212" s="64"/>
      <c r="B212" s="64"/>
      <c r="C212" s="64"/>
      <c r="D212" s="64"/>
      <c r="E212" s="71" t="s">
        <v>178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2370</v>
      </c>
      <c r="B213" s="64" t="s">
        <v>8</v>
      </c>
      <c r="C213" s="64">
        <v>7</v>
      </c>
      <c r="D213" s="64">
        <v>0</v>
      </c>
      <c r="E213" s="71" t="s">
        <v>233</v>
      </c>
      <c r="F213" s="64"/>
      <c r="G213" s="21"/>
      <c r="H213" s="21"/>
      <c r="I213" s="21"/>
      <c r="J213" s="21"/>
      <c r="K213" s="21"/>
      <c r="L213" s="21"/>
      <c r="M213" s="21"/>
    </row>
    <row r="214" spans="1:13" ht="52.5" customHeight="1" x14ac:dyDescent="0.25">
      <c r="A214" s="64"/>
      <c r="B214" s="64"/>
      <c r="C214" s="64"/>
      <c r="D214" s="64"/>
      <c r="E214" s="71" t="s">
        <v>156</v>
      </c>
      <c r="F214" s="64"/>
      <c r="G214" s="21"/>
      <c r="H214" s="21"/>
      <c r="I214" s="21"/>
      <c r="J214" s="21"/>
      <c r="K214" s="21"/>
      <c r="L214" s="21"/>
      <c r="M214" s="21"/>
    </row>
    <row r="215" spans="1:13" ht="27" x14ac:dyDescent="0.25">
      <c r="A215" s="64">
        <v>2371</v>
      </c>
      <c r="B215" s="64" t="s">
        <v>8</v>
      </c>
      <c r="C215" s="64">
        <v>7</v>
      </c>
      <c r="D215" s="64">
        <v>1</v>
      </c>
      <c r="E215" s="71" t="s">
        <v>233</v>
      </c>
      <c r="F215" s="64"/>
      <c r="G215" s="21"/>
      <c r="H215" s="21"/>
      <c r="I215" s="21"/>
      <c r="J215" s="21"/>
      <c r="K215" s="21"/>
      <c r="L215" s="21"/>
      <c r="M215" s="21"/>
    </row>
    <row r="216" spans="1:13" ht="40.5" x14ac:dyDescent="0.25">
      <c r="A216" s="64"/>
      <c r="B216" s="64"/>
      <c r="C216" s="64"/>
      <c r="D216" s="64"/>
      <c r="E216" s="71" t="s">
        <v>177</v>
      </c>
      <c r="F216" s="64"/>
      <c r="G216" s="21"/>
      <c r="H216" s="21"/>
      <c r="I216" s="21"/>
      <c r="J216" s="21"/>
      <c r="K216" s="21"/>
      <c r="L216" s="21"/>
      <c r="M216" s="21"/>
    </row>
    <row r="217" spans="1:13" x14ac:dyDescent="0.25">
      <c r="A217" s="64"/>
      <c r="B217" s="64"/>
      <c r="C217" s="64"/>
      <c r="D217" s="64"/>
      <c r="E217" s="71" t="s">
        <v>178</v>
      </c>
      <c r="F217" s="64"/>
      <c r="G217" s="21"/>
      <c r="H217" s="21"/>
      <c r="I217" s="21"/>
      <c r="J217" s="21"/>
      <c r="K217" s="21"/>
      <c r="L217" s="21"/>
      <c r="M217" s="21"/>
    </row>
    <row r="218" spans="1:13" x14ac:dyDescent="0.25">
      <c r="A218" s="64"/>
      <c r="B218" s="64"/>
      <c r="C218" s="64"/>
      <c r="D218" s="64"/>
      <c r="E218" s="71" t="s">
        <v>178</v>
      </c>
      <c r="F218" s="64"/>
      <c r="G218" s="21"/>
      <c r="H218" s="21"/>
      <c r="I218" s="21"/>
      <c r="J218" s="21"/>
      <c r="K218" s="21"/>
      <c r="L218" s="21"/>
      <c r="M218" s="21"/>
    </row>
    <row r="219" spans="1:13" ht="40.5" x14ac:dyDescent="0.25">
      <c r="A219" s="64">
        <v>2400</v>
      </c>
      <c r="B219" s="64" t="s">
        <v>9</v>
      </c>
      <c r="C219" s="64">
        <v>0</v>
      </c>
      <c r="D219" s="64">
        <v>0</v>
      </c>
      <c r="E219" s="71" t="s">
        <v>234</v>
      </c>
      <c r="F219" s="64"/>
      <c r="G219" s="21">
        <f t="shared" ref="G219:M219" si="19">G221+G231+G251+G265+G279+G306+G312+G330+G348</f>
        <v>939569.18400000036</v>
      </c>
      <c r="H219" s="21">
        <f t="shared" si="19"/>
        <v>302360</v>
      </c>
      <c r="I219" s="21">
        <f t="shared" si="19"/>
        <v>637209.18400000036</v>
      </c>
      <c r="J219" s="21">
        <f t="shared" si="19"/>
        <v>789560.90787011851</v>
      </c>
      <c r="K219" s="21">
        <f t="shared" si="19"/>
        <v>794388.96968948143</v>
      </c>
      <c r="L219" s="21">
        <f t="shared" si="19"/>
        <v>789656.51952466159</v>
      </c>
      <c r="M219" s="21">
        <f t="shared" si="19"/>
        <v>939569.18400000036</v>
      </c>
    </row>
    <row r="220" spans="1:13" x14ac:dyDescent="0.25">
      <c r="A220" s="64"/>
      <c r="B220" s="64"/>
      <c r="C220" s="64"/>
      <c r="D220" s="64"/>
      <c r="E220" s="71" t="s">
        <v>154</v>
      </c>
      <c r="F220" s="64"/>
      <c r="G220" s="21"/>
      <c r="H220" s="21"/>
      <c r="I220" s="21"/>
      <c r="J220" s="21"/>
      <c r="K220" s="21"/>
      <c r="L220" s="21"/>
      <c r="M220" s="21"/>
    </row>
    <row r="221" spans="1:13" ht="34.5" customHeight="1" x14ac:dyDescent="0.25">
      <c r="A221" s="64">
        <v>2410</v>
      </c>
      <c r="B221" s="64" t="s">
        <v>9</v>
      </c>
      <c r="C221" s="64">
        <v>1</v>
      </c>
      <c r="D221" s="64">
        <v>0</v>
      </c>
      <c r="E221" s="71" t="s">
        <v>235</v>
      </c>
      <c r="F221" s="64"/>
      <c r="G221" s="21"/>
      <c r="H221" s="21"/>
      <c r="I221" s="21"/>
      <c r="J221" s="21"/>
      <c r="K221" s="21"/>
      <c r="L221" s="21"/>
      <c r="M221" s="21"/>
    </row>
    <row r="222" spans="1:13" ht="52.5" customHeight="1" x14ac:dyDescent="0.25">
      <c r="A222" s="64"/>
      <c r="B222" s="64"/>
      <c r="C222" s="64"/>
      <c r="D222" s="64"/>
      <c r="E222" s="71" t="s">
        <v>156</v>
      </c>
      <c r="F222" s="64"/>
      <c r="G222" s="21"/>
      <c r="H222" s="21"/>
      <c r="I222" s="21"/>
      <c r="J222" s="21"/>
      <c r="K222" s="21"/>
      <c r="L222" s="21"/>
      <c r="M222" s="21"/>
    </row>
    <row r="223" spans="1:13" ht="27" x14ac:dyDescent="0.25">
      <c r="A223" s="64">
        <v>2411</v>
      </c>
      <c r="B223" s="64" t="s">
        <v>9</v>
      </c>
      <c r="C223" s="64">
        <v>1</v>
      </c>
      <c r="D223" s="64">
        <v>1</v>
      </c>
      <c r="E223" s="71" t="s">
        <v>236</v>
      </c>
      <c r="F223" s="64"/>
      <c r="G223" s="21"/>
      <c r="H223" s="21"/>
      <c r="I223" s="21"/>
      <c r="J223" s="21"/>
      <c r="K223" s="21"/>
      <c r="L223" s="21"/>
      <c r="M223" s="21"/>
    </row>
    <row r="224" spans="1:13" ht="40.5" x14ac:dyDescent="0.25">
      <c r="A224" s="64"/>
      <c r="B224" s="64"/>
      <c r="C224" s="64"/>
      <c r="D224" s="64"/>
      <c r="E224" s="71" t="s">
        <v>177</v>
      </c>
      <c r="F224" s="64"/>
      <c r="G224" s="21"/>
      <c r="H224" s="21"/>
      <c r="I224" s="21"/>
      <c r="J224" s="21"/>
      <c r="K224" s="21"/>
      <c r="L224" s="21"/>
      <c r="M224" s="21"/>
    </row>
    <row r="225" spans="1:13" ht="38.25" customHeight="1" x14ac:dyDescent="0.25">
      <c r="A225" s="64"/>
      <c r="B225" s="64"/>
      <c r="C225" s="64"/>
      <c r="D225" s="64"/>
      <c r="E225" s="71" t="s">
        <v>178</v>
      </c>
      <c r="F225" s="64"/>
      <c r="G225" s="21"/>
      <c r="H225" s="21"/>
      <c r="I225" s="21"/>
      <c r="J225" s="21"/>
      <c r="K225" s="21"/>
      <c r="L225" s="21"/>
      <c r="M225" s="21"/>
    </row>
    <row r="226" spans="1:13" ht="54" customHeight="1" x14ac:dyDescent="0.25">
      <c r="A226" s="64"/>
      <c r="B226" s="64"/>
      <c r="C226" s="64"/>
      <c r="D226" s="64"/>
      <c r="E226" s="71" t="s">
        <v>178</v>
      </c>
      <c r="F226" s="64"/>
      <c r="G226" s="21"/>
      <c r="H226" s="21"/>
      <c r="I226" s="21"/>
      <c r="J226" s="21"/>
      <c r="K226" s="21"/>
      <c r="L226" s="21"/>
      <c r="M226" s="21"/>
    </row>
    <row r="227" spans="1:13" ht="27" x14ac:dyDescent="0.25">
      <c r="A227" s="64">
        <v>2412</v>
      </c>
      <c r="B227" s="64" t="s">
        <v>9</v>
      </c>
      <c r="C227" s="64">
        <v>1</v>
      </c>
      <c r="D227" s="64">
        <v>2</v>
      </c>
      <c r="E227" s="71" t="s">
        <v>237</v>
      </c>
      <c r="F227" s="64"/>
      <c r="G227" s="21"/>
      <c r="H227" s="21"/>
      <c r="I227" s="21"/>
      <c r="J227" s="21"/>
      <c r="K227" s="21"/>
      <c r="L227" s="21"/>
      <c r="M227" s="21"/>
    </row>
    <row r="228" spans="1:13" ht="40.5" x14ac:dyDescent="0.25">
      <c r="A228" s="64"/>
      <c r="B228" s="64"/>
      <c r="C228" s="64"/>
      <c r="D228" s="64"/>
      <c r="E228" s="71" t="s">
        <v>177</v>
      </c>
      <c r="F228" s="64"/>
      <c r="G228" s="21"/>
      <c r="H228" s="21"/>
      <c r="I228" s="21"/>
      <c r="J228" s="21"/>
      <c r="K228" s="21"/>
      <c r="L228" s="21"/>
      <c r="M228" s="21"/>
    </row>
    <row r="229" spans="1:13" ht="38.25" customHeight="1" x14ac:dyDescent="0.25">
      <c r="A229" s="64"/>
      <c r="B229" s="64"/>
      <c r="C229" s="64"/>
      <c r="D229" s="64"/>
      <c r="E229" s="71" t="s">
        <v>178</v>
      </c>
      <c r="F229" s="64"/>
      <c r="G229" s="21"/>
      <c r="H229" s="21"/>
      <c r="I229" s="21"/>
      <c r="J229" s="21"/>
      <c r="K229" s="21"/>
      <c r="L229" s="21"/>
      <c r="M229" s="21"/>
    </row>
    <row r="230" spans="1:13" x14ac:dyDescent="0.25">
      <c r="A230" s="64"/>
      <c r="B230" s="64"/>
      <c r="C230" s="64"/>
      <c r="D230" s="64"/>
      <c r="E230" s="71" t="s">
        <v>178</v>
      </c>
      <c r="F230" s="64"/>
      <c r="G230" s="21"/>
      <c r="H230" s="21"/>
      <c r="I230" s="21"/>
      <c r="J230" s="21"/>
      <c r="K230" s="21"/>
      <c r="L230" s="21"/>
      <c r="M230" s="21"/>
    </row>
    <row r="231" spans="1:13" ht="19.5" customHeight="1" x14ac:dyDescent="0.25">
      <c r="A231" s="64">
        <v>2420</v>
      </c>
      <c r="B231" s="64" t="s">
        <v>9</v>
      </c>
      <c r="C231" s="64">
        <v>2</v>
      </c>
      <c r="D231" s="64">
        <v>0</v>
      </c>
      <c r="E231" s="71" t="s">
        <v>238</v>
      </c>
      <c r="F231" s="64"/>
      <c r="G231" s="21"/>
      <c r="H231" s="21"/>
      <c r="I231" s="21"/>
      <c r="J231" s="21"/>
      <c r="K231" s="21"/>
      <c r="L231" s="21"/>
      <c r="M231" s="21"/>
    </row>
    <row r="232" spans="1:13" ht="51" customHeight="1" x14ac:dyDescent="0.25">
      <c r="A232" s="64"/>
      <c r="B232" s="64"/>
      <c r="C232" s="64"/>
      <c r="D232" s="64"/>
      <c r="E232" s="71" t="s">
        <v>156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>
        <v>2421</v>
      </c>
      <c r="B233" s="64" t="s">
        <v>9</v>
      </c>
      <c r="C233" s="64">
        <v>2</v>
      </c>
      <c r="D233" s="64">
        <v>1</v>
      </c>
      <c r="E233" s="71" t="s">
        <v>239</v>
      </c>
      <c r="F233" s="64"/>
      <c r="G233" s="21"/>
      <c r="H233" s="21"/>
      <c r="I233" s="21"/>
      <c r="J233" s="21"/>
      <c r="K233" s="21"/>
      <c r="L233" s="21"/>
      <c r="M233" s="21"/>
    </row>
    <row r="234" spans="1:13" ht="40.5" x14ac:dyDescent="0.25">
      <c r="A234" s="64"/>
      <c r="B234" s="64"/>
      <c r="C234" s="64"/>
      <c r="D234" s="64"/>
      <c r="E234" s="71" t="s">
        <v>177</v>
      </c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/>
      <c r="F235" s="64"/>
      <c r="G235" s="21"/>
      <c r="H235" s="21"/>
      <c r="I235" s="21"/>
      <c r="J235" s="21"/>
      <c r="K235" s="21"/>
      <c r="L235" s="21"/>
      <c r="M235" s="21"/>
    </row>
    <row r="236" spans="1:13" x14ac:dyDescent="0.25">
      <c r="A236" s="64"/>
      <c r="B236" s="64"/>
      <c r="C236" s="64"/>
      <c r="D236" s="64"/>
      <c r="E236" s="71"/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/>
      <c r="B237" s="64"/>
      <c r="C237" s="64"/>
      <c r="D237" s="64"/>
      <c r="E237" s="71" t="s">
        <v>178</v>
      </c>
      <c r="F237" s="64"/>
      <c r="G237" s="21"/>
      <c r="H237" s="21"/>
      <c r="I237" s="21"/>
      <c r="J237" s="21"/>
      <c r="K237" s="21"/>
      <c r="L237" s="21"/>
      <c r="M237" s="21"/>
    </row>
    <row r="238" spans="1:13" ht="52.5" customHeight="1" x14ac:dyDescent="0.25">
      <c r="A238" s="64"/>
      <c r="B238" s="64"/>
      <c r="C238" s="64"/>
      <c r="D238" s="64"/>
      <c r="E238" s="71" t="s">
        <v>178</v>
      </c>
      <c r="F238" s="64"/>
      <c r="G238" s="21"/>
      <c r="H238" s="21"/>
      <c r="I238" s="21"/>
      <c r="J238" s="21"/>
      <c r="K238" s="21"/>
      <c r="L238" s="21"/>
      <c r="M238" s="21"/>
    </row>
    <row r="239" spans="1:13" x14ac:dyDescent="0.25">
      <c r="A239" s="64">
        <v>2422</v>
      </c>
      <c r="B239" s="64" t="s">
        <v>9</v>
      </c>
      <c r="C239" s="64">
        <v>2</v>
      </c>
      <c r="D239" s="64">
        <v>2</v>
      </c>
      <c r="E239" s="71" t="s">
        <v>240</v>
      </c>
      <c r="F239" s="64"/>
      <c r="G239" s="21"/>
      <c r="H239" s="21"/>
      <c r="I239" s="21"/>
      <c r="J239" s="21"/>
      <c r="K239" s="21"/>
      <c r="L239" s="21"/>
      <c r="M239" s="21"/>
    </row>
    <row r="240" spans="1:13" ht="40.5" x14ac:dyDescent="0.25">
      <c r="A240" s="64"/>
      <c r="B240" s="64"/>
      <c r="C240" s="64"/>
      <c r="D240" s="64"/>
      <c r="E240" s="71" t="s">
        <v>177</v>
      </c>
      <c r="F240" s="64"/>
      <c r="G240" s="21"/>
      <c r="H240" s="21"/>
      <c r="I240" s="21"/>
      <c r="J240" s="21"/>
      <c r="K240" s="21"/>
      <c r="L240" s="21"/>
      <c r="M240" s="21"/>
    </row>
    <row r="241" spans="1:13" ht="18.75" customHeight="1" x14ac:dyDescent="0.25">
      <c r="A241" s="64"/>
      <c r="B241" s="64"/>
      <c r="C241" s="64"/>
      <c r="D241" s="64"/>
      <c r="E241" s="71" t="s">
        <v>178</v>
      </c>
      <c r="F241" s="64"/>
      <c r="G241" s="21"/>
      <c r="H241" s="21"/>
      <c r="I241" s="21"/>
      <c r="J241" s="21"/>
      <c r="K241" s="21"/>
      <c r="L241" s="21"/>
      <c r="M241" s="21"/>
    </row>
    <row r="242" spans="1:13" ht="49.5" customHeight="1" x14ac:dyDescent="0.25">
      <c r="A242" s="64"/>
      <c r="B242" s="64"/>
      <c r="C242" s="64"/>
      <c r="D242" s="64"/>
      <c r="E242" s="71" t="s">
        <v>178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>
        <v>2423</v>
      </c>
      <c r="B243" s="64" t="s">
        <v>9</v>
      </c>
      <c r="C243" s="64">
        <v>2</v>
      </c>
      <c r="D243" s="64">
        <v>3</v>
      </c>
      <c r="E243" s="71" t="s">
        <v>241</v>
      </c>
      <c r="F243" s="64"/>
      <c r="G243" s="21"/>
      <c r="H243" s="21"/>
      <c r="I243" s="21"/>
      <c r="J243" s="21"/>
      <c r="K243" s="21"/>
      <c r="L243" s="21"/>
      <c r="M243" s="21"/>
    </row>
    <row r="244" spans="1:13" ht="40.5" x14ac:dyDescent="0.25">
      <c r="A244" s="64"/>
      <c r="B244" s="64"/>
      <c r="C244" s="64"/>
      <c r="D244" s="64"/>
      <c r="E244" s="71" t="s">
        <v>177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/>
      <c r="B245" s="64"/>
      <c r="C245" s="64"/>
      <c r="D245" s="64"/>
      <c r="E245" s="71" t="s">
        <v>178</v>
      </c>
      <c r="F245" s="64"/>
      <c r="G245" s="21"/>
      <c r="H245" s="21"/>
      <c r="I245" s="21"/>
      <c r="J245" s="21"/>
      <c r="K245" s="21"/>
      <c r="L245" s="21"/>
      <c r="M245" s="21"/>
    </row>
    <row r="246" spans="1:13" ht="57" customHeight="1" x14ac:dyDescent="0.25">
      <c r="A246" s="64"/>
      <c r="B246" s="64"/>
      <c r="C246" s="64"/>
      <c r="D246" s="64"/>
      <c r="E246" s="71" t="s">
        <v>178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>
        <v>2424</v>
      </c>
      <c r="B247" s="64" t="s">
        <v>9</v>
      </c>
      <c r="C247" s="64">
        <v>2</v>
      </c>
      <c r="D247" s="64">
        <v>4</v>
      </c>
      <c r="E247" s="71" t="s">
        <v>242</v>
      </c>
      <c r="F247" s="64"/>
      <c r="G247" s="21"/>
      <c r="H247" s="21"/>
      <c r="I247" s="21"/>
      <c r="J247" s="21"/>
      <c r="K247" s="21"/>
      <c r="L247" s="21"/>
      <c r="M247" s="21"/>
    </row>
    <row r="248" spans="1:13" ht="40.5" x14ac:dyDescent="0.25">
      <c r="A248" s="64"/>
      <c r="B248" s="64"/>
      <c r="C248" s="64"/>
      <c r="D248" s="64"/>
      <c r="E248" s="71" t="s">
        <v>177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/>
      <c r="B249" s="64"/>
      <c r="C249" s="64"/>
      <c r="D249" s="64"/>
      <c r="E249" s="71" t="s">
        <v>178</v>
      </c>
      <c r="F249" s="64"/>
      <c r="G249" s="21"/>
      <c r="H249" s="21"/>
      <c r="I249" s="21"/>
      <c r="J249" s="21"/>
      <c r="K249" s="21"/>
      <c r="L249" s="21"/>
      <c r="M249" s="21"/>
    </row>
    <row r="250" spans="1:13" x14ac:dyDescent="0.25">
      <c r="A250" s="64"/>
      <c r="B250" s="64"/>
      <c r="C250" s="64"/>
      <c r="D250" s="64"/>
      <c r="E250" s="71" t="s">
        <v>178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2430</v>
      </c>
      <c r="B251" s="64" t="s">
        <v>9</v>
      </c>
      <c r="C251" s="64">
        <v>3</v>
      </c>
      <c r="D251" s="64">
        <v>0</v>
      </c>
      <c r="E251" s="71" t="s">
        <v>243</v>
      </c>
      <c r="F251" s="64"/>
      <c r="G251" s="21"/>
      <c r="H251" s="21"/>
      <c r="I251" s="21"/>
      <c r="J251" s="21"/>
      <c r="K251" s="21"/>
      <c r="L251" s="21"/>
      <c r="M251" s="21"/>
    </row>
    <row r="252" spans="1:13" ht="48" customHeight="1" x14ac:dyDescent="0.25">
      <c r="A252" s="64"/>
      <c r="B252" s="64"/>
      <c r="C252" s="64"/>
      <c r="D252" s="64"/>
      <c r="E252" s="71" t="s">
        <v>156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>
        <v>2431</v>
      </c>
      <c r="B253" s="64" t="s">
        <v>9</v>
      </c>
      <c r="C253" s="64">
        <v>3</v>
      </c>
      <c r="D253" s="64">
        <v>1</v>
      </c>
      <c r="E253" s="71" t="s">
        <v>244</v>
      </c>
      <c r="F253" s="64"/>
      <c r="G253" s="21"/>
      <c r="H253" s="21"/>
      <c r="I253" s="21"/>
      <c r="J253" s="21"/>
      <c r="K253" s="21"/>
      <c r="L253" s="21"/>
      <c r="M253" s="21"/>
    </row>
    <row r="254" spans="1:13" ht="40.5" x14ac:dyDescent="0.25">
      <c r="A254" s="64"/>
      <c r="B254" s="64"/>
      <c r="C254" s="64"/>
      <c r="D254" s="64"/>
      <c r="E254" s="71" t="s">
        <v>177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/>
      <c r="B255" s="64"/>
      <c r="C255" s="64"/>
      <c r="D255" s="64"/>
      <c r="E255" s="71" t="s">
        <v>178</v>
      </c>
      <c r="F255" s="64"/>
      <c r="G255" s="21"/>
      <c r="H255" s="21"/>
      <c r="I255" s="21"/>
      <c r="J255" s="21"/>
      <c r="K255" s="21"/>
      <c r="L255" s="21"/>
      <c r="M255" s="21"/>
    </row>
    <row r="256" spans="1:13" ht="54.75" customHeight="1" x14ac:dyDescent="0.25">
      <c r="A256" s="64"/>
      <c r="B256" s="64"/>
      <c r="C256" s="64"/>
      <c r="D256" s="64"/>
      <c r="E256" s="71" t="s">
        <v>178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>
        <v>2432</v>
      </c>
      <c r="B257" s="64" t="s">
        <v>9</v>
      </c>
      <c r="C257" s="64">
        <v>3</v>
      </c>
      <c r="D257" s="64">
        <v>2</v>
      </c>
      <c r="E257" s="71" t="s">
        <v>245</v>
      </c>
      <c r="F257" s="64"/>
      <c r="G257" s="21"/>
      <c r="H257" s="21"/>
      <c r="I257" s="21"/>
      <c r="J257" s="21"/>
      <c r="K257" s="21"/>
      <c r="L257" s="21"/>
      <c r="M257" s="21"/>
    </row>
    <row r="258" spans="1:13" ht="40.5" x14ac:dyDescent="0.25">
      <c r="A258" s="64"/>
      <c r="B258" s="64"/>
      <c r="C258" s="64"/>
      <c r="D258" s="64"/>
      <c r="E258" s="71" t="s">
        <v>177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/>
      <c r="B259" s="64"/>
      <c r="C259" s="64"/>
      <c r="D259" s="64"/>
      <c r="E259" s="71" t="s">
        <v>178</v>
      </c>
      <c r="F259" s="64"/>
      <c r="G259" s="21"/>
      <c r="H259" s="21"/>
      <c r="I259" s="21"/>
      <c r="J259" s="21"/>
      <c r="K259" s="21"/>
      <c r="L259" s="21"/>
      <c r="M259" s="21"/>
    </row>
    <row r="260" spans="1:13" ht="54" customHeight="1" x14ac:dyDescent="0.25">
      <c r="A260" s="64"/>
      <c r="B260" s="64"/>
      <c r="C260" s="64"/>
      <c r="D260" s="64"/>
      <c r="E260" s="71" t="s">
        <v>178</v>
      </c>
      <c r="F260" s="64"/>
      <c r="G260" s="21"/>
      <c r="H260" s="21"/>
      <c r="I260" s="21"/>
      <c r="J260" s="21"/>
      <c r="K260" s="21"/>
      <c r="L260" s="21"/>
      <c r="M260" s="21"/>
    </row>
    <row r="261" spans="1:13" x14ac:dyDescent="0.25">
      <c r="A261" s="64">
        <v>2433</v>
      </c>
      <c r="B261" s="64" t="s">
        <v>9</v>
      </c>
      <c r="C261" s="64">
        <v>3</v>
      </c>
      <c r="D261" s="64">
        <v>3</v>
      </c>
      <c r="E261" s="71" t="s">
        <v>246</v>
      </c>
      <c r="F261" s="64"/>
      <c r="G261" s="21"/>
      <c r="H261" s="21"/>
      <c r="I261" s="21"/>
      <c r="J261" s="21"/>
      <c r="K261" s="21"/>
      <c r="L261" s="21"/>
      <c r="M261" s="21"/>
    </row>
    <row r="262" spans="1:13" ht="40.5" x14ac:dyDescent="0.25">
      <c r="A262" s="64"/>
      <c r="B262" s="64"/>
      <c r="C262" s="64"/>
      <c r="D262" s="64"/>
      <c r="E262" s="71" t="s">
        <v>177</v>
      </c>
      <c r="F262" s="64"/>
      <c r="G262" s="21"/>
      <c r="H262" s="21"/>
      <c r="I262" s="21"/>
      <c r="J262" s="21"/>
      <c r="K262" s="21"/>
      <c r="L262" s="21"/>
      <c r="M262" s="21"/>
    </row>
    <row r="263" spans="1:13" ht="36" customHeight="1" x14ac:dyDescent="0.25">
      <c r="A263" s="64"/>
      <c r="B263" s="64"/>
      <c r="C263" s="64"/>
      <c r="D263" s="64"/>
      <c r="E263" s="71" t="s">
        <v>178</v>
      </c>
      <c r="F263" s="64"/>
      <c r="G263" s="21"/>
      <c r="H263" s="21"/>
      <c r="I263" s="21"/>
      <c r="J263" s="21"/>
      <c r="K263" s="21"/>
      <c r="L263" s="21"/>
      <c r="M263" s="21"/>
    </row>
    <row r="264" spans="1:13" x14ac:dyDescent="0.25">
      <c r="A264" s="64"/>
      <c r="B264" s="64"/>
      <c r="C264" s="64"/>
      <c r="D264" s="64"/>
      <c r="E264" s="71" t="s">
        <v>178</v>
      </c>
      <c r="F264" s="64"/>
      <c r="G264" s="21"/>
      <c r="H264" s="21"/>
      <c r="I264" s="21"/>
      <c r="J264" s="21"/>
      <c r="K264" s="21"/>
      <c r="L264" s="21"/>
      <c r="M264" s="21"/>
    </row>
    <row r="265" spans="1:13" ht="36.75" customHeight="1" x14ac:dyDescent="0.25">
      <c r="A265" s="64">
        <v>2440</v>
      </c>
      <c r="B265" s="64" t="s">
        <v>9</v>
      </c>
      <c r="C265" s="64">
        <v>4</v>
      </c>
      <c r="D265" s="64">
        <v>0</v>
      </c>
      <c r="E265" s="71" t="s">
        <v>250</v>
      </c>
      <c r="F265" s="64"/>
      <c r="G265" s="21"/>
      <c r="H265" s="21"/>
      <c r="I265" s="21"/>
      <c r="J265" s="21"/>
      <c r="K265" s="21"/>
      <c r="L265" s="21"/>
      <c r="M265" s="21"/>
    </row>
    <row r="266" spans="1:13" ht="51.75" customHeight="1" x14ac:dyDescent="0.25">
      <c r="A266" s="64"/>
      <c r="B266" s="64"/>
      <c r="C266" s="64"/>
      <c r="D266" s="64"/>
      <c r="E266" s="71" t="s">
        <v>156</v>
      </c>
      <c r="F266" s="64"/>
      <c r="G266" s="21"/>
      <c r="H266" s="21"/>
      <c r="I266" s="21"/>
      <c r="J266" s="21"/>
      <c r="K266" s="21"/>
      <c r="L266" s="21"/>
      <c r="M266" s="21"/>
    </row>
    <row r="267" spans="1:13" ht="27" x14ac:dyDescent="0.25">
      <c r="A267" s="64">
        <v>2441</v>
      </c>
      <c r="B267" s="64" t="s">
        <v>9</v>
      </c>
      <c r="C267" s="64">
        <v>4</v>
      </c>
      <c r="D267" s="64">
        <v>1</v>
      </c>
      <c r="E267" s="71" t="s">
        <v>251</v>
      </c>
      <c r="F267" s="64"/>
      <c r="G267" s="21"/>
      <c r="H267" s="21"/>
      <c r="I267" s="21"/>
      <c r="J267" s="21"/>
      <c r="K267" s="21"/>
      <c r="L267" s="21"/>
      <c r="M267" s="21"/>
    </row>
    <row r="268" spans="1:13" ht="40.5" x14ac:dyDescent="0.25">
      <c r="A268" s="64"/>
      <c r="B268" s="64"/>
      <c r="C268" s="64"/>
      <c r="D268" s="64"/>
      <c r="E268" s="71" t="s">
        <v>177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/>
      <c r="B269" s="64"/>
      <c r="C269" s="64"/>
      <c r="D269" s="64"/>
      <c r="E269" s="71" t="s">
        <v>178</v>
      </c>
      <c r="F269" s="64"/>
      <c r="G269" s="21"/>
      <c r="H269" s="21"/>
      <c r="I269" s="21"/>
      <c r="J269" s="21"/>
      <c r="K269" s="21"/>
      <c r="L269" s="21"/>
      <c r="M269" s="21"/>
    </row>
    <row r="270" spans="1:13" ht="54" customHeight="1" x14ac:dyDescent="0.25">
      <c r="A270" s="64"/>
      <c r="B270" s="64"/>
      <c r="C270" s="64"/>
      <c r="D270" s="64"/>
      <c r="E270" s="71" t="s">
        <v>178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>
        <v>2442</v>
      </c>
      <c r="B271" s="64" t="s">
        <v>9</v>
      </c>
      <c r="C271" s="64">
        <v>4</v>
      </c>
      <c r="D271" s="64">
        <v>2</v>
      </c>
      <c r="E271" s="71" t="s">
        <v>252</v>
      </c>
      <c r="F271" s="64"/>
      <c r="G271" s="21"/>
      <c r="H271" s="21"/>
      <c r="I271" s="21"/>
      <c r="J271" s="21"/>
      <c r="K271" s="21"/>
      <c r="L271" s="21"/>
      <c r="M271" s="21"/>
    </row>
    <row r="272" spans="1:13" ht="40.5" x14ac:dyDescent="0.25">
      <c r="A272" s="64"/>
      <c r="B272" s="64"/>
      <c r="C272" s="64"/>
      <c r="D272" s="64"/>
      <c r="E272" s="71" t="s">
        <v>177</v>
      </c>
      <c r="F272" s="64"/>
      <c r="G272" s="21"/>
      <c r="H272" s="21"/>
      <c r="I272" s="21"/>
      <c r="J272" s="21"/>
      <c r="K272" s="21"/>
      <c r="L272" s="21"/>
      <c r="M272" s="21"/>
    </row>
    <row r="273" spans="1:13" x14ac:dyDescent="0.25">
      <c r="A273" s="64"/>
      <c r="B273" s="64"/>
      <c r="C273" s="64"/>
      <c r="D273" s="64"/>
      <c r="E273" s="71" t="s">
        <v>178</v>
      </c>
      <c r="F273" s="64"/>
      <c r="G273" s="21"/>
      <c r="H273" s="21"/>
      <c r="I273" s="21"/>
      <c r="J273" s="21"/>
      <c r="K273" s="21"/>
      <c r="L273" s="21"/>
      <c r="M273" s="21"/>
    </row>
    <row r="274" spans="1:13" ht="54" customHeight="1" x14ac:dyDescent="0.25">
      <c r="A274" s="64"/>
      <c r="B274" s="64"/>
      <c r="C274" s="64"/>
      <c r="D274" s="64"/>
      <c r="E274" s="71" t="s">
        <v>178</v>
      </c>
      <c r="F274" s="64"/>
      <c r="G274" s="21"/>
      <c r="H274" s="21"/>
      <c r="I274" s="21"/>
      <c r="J274" s="21"/>
      <c r="K274" s="21"/>
      <c r="L274" s="21"/>
      <c r="M274" s="21"/>
    </row>
    <row r="275" spans="1:13" x14ac:dyDescent="0.25">
      <c r="A275" s="64">
        <v>2443</v>
      </c>
      <c r="B275" s="64" t="s">
        <v>9</v>
      </c>
      <c r="C275" s="64">
        <v>4</v>
      </c>
      <c r="D275" s="64">
        <v>3</v>
      </c>
      <c r="E275" s="71" t="s">
        <v>253</v>
      </c>
      <c r="F275" s="64"/>
      <c r="G275" s="21"/>
      <c r="H275" s="21"/>
      <c r="I275" s="21"/>
      <c r="J275" s="21"/>
      <c r="K275" s="21"/>
      <c r="L275" s="21"/>
      <c r="M275" s="21"/>
    </row>
    <row r="276" spans="1:13" ht="40.5" x14ac:dyDescent="0.25">
      <c r="A276" s="64"/>
      <c r="B276" s="64"/>
      <c r="C276" s="64"/>
      <c r="D276" s="64"/>
      <c r="E276" s="71" t="s">
        <v>177</v>
      </c>
      <c r="F276" s="64"/>
      <c r="G276" s="21"/>
      <c r="H276" s="21"/>
      <c r="I276" s="21"/>
      <c r="J276" s="21"/>
      <c r="K276" s="21"/>
      <c r="L276" s="21"/>
      <c r="M276" s="21"/>
    </row>
    <row r="277" spans="1:13" x14ac:dyDescent="0.25">
      <c r="A277" s="64"/>
      <c r="B277" s="64"/>
      <c r="C277" s="64"/>
      <c r="D277" s="64"/>
      <c r="E277" s="71" t="s">
        <v>178</v>
      </c>
      <c r="F277" s="64"/>
      <c r="G277" s="21"/>
      <c r="H277" s="21"/>
      <c r="I277" s="21"/>
      <c r="J277" s="21"/>
      <c r="K277" s="21"/>
      <c r="L277" s="21"/>
      <c r="M277" s="21"/>
    </row>
    <row r="278" spans="1:13" x14ac:dyDescent="0.25">
      <c r="A278" s="64"/>
      <c r="B278" s="64"/>
      <c r="C278" s="64"/>
      <c r="D278" s="64"/>
      <c r="E278" s="71" t="s">
        <v>178</v>
      </c>
      <c r="F278" s="64"/>
      <c r="G278" s="21"/>
      <c r="H278" s="21"/>
      <c r="I278" s="21"/>
      <c r="J278" s="21"/>
      <c r="K278" s="21"/>
      <c r="L278" s="21"/>
      <c r="M278" s="21"/>
    </row>
    <row r="279" spans="1:13" x14ac:dyDescent="0.25">
      <c r="A279" s="64">
        <v>2450</v>
      </c>
      <c r="B279" s="64" t="s">
        <v>9</v>
      </c>
      <c r="C279" s="64">
        <v>5</v>
      </c>
      <c r="D279" s="64">
        <v>0</v>
      </c>
      <c r="E279" s="71" t="s">
        <v>254</v>
      </c>
      <c r="F279" s="64"/>
      <c r="G279" s="21">
        <f t="shared" ref="G279:M279" si="20">G281+G290+G294+G302</f>
        <v>2482834.1840000004</v>
      </c>
      <c r="H279" s="21">
        <f t="shared" si="20"/>
        <v>302360</v>
      </c>
      <c r="I279" s="21">
        <f t="shared" si="20"/>
        <v>2180474.1840000004</v>
      </c>
      <c r="J279" s="21">
        <f t="shared" si="20"/>
        <v>1304083.6500830036</v>
      </c>
      <c r="K279" s="21">
        <f t="shared" si="20"/>
        <v>1676032.9079920899</v>
      </c>
      <c r="L279" s="21">
        <f t="shared" si="20"/>
        <v>2069795.206075096</v>
      </c>
      <c r="M279" s="21">
        <f t="shared" si="20"/>
        <v>2482834.1840000004</v>
      </c>
    </row>
    <row r="280" spans="1:13" ht="51.75" customHeight="1" x14ac:dyDescent="0.25">
      <c r="A280" s="64"/>
      <c r="B280" s="64"/>
      <c r="C280" s="64"/>
      <c r="D280" s="64"/>
      <c r="E280" s="71" t="s">
        <v>156</v>
      </c>
      <c r="F280" s="64"/>
      <c r="G280" s="21"/>
      <c r="H280" s="21"/>
      <c r="I280" s="21"/>
      <c r="J280" s="21"/>
      <c r="K280" s="21"/>
      <c r="L280" s="21"/>
      <c r="M280" s="21"/>
    </row>
    <row r="281" spans="1:13" x14ac:dyDescent="0.25">
      <c r="A281" s="64">
        <v>2451</v>
      </c>
      <c r="B281" s="64" t="s">
        <v>9</v>
      </c>
      <c r="C281" s="64">
        <v>5</v>
      </c>
      <c r="D281" s="64">
        <v>1</v>
      </c>
      <c r="E281" s="71" t="s">
        <v>255</v>
      </c>
      <c r="F281" s="64"/>
      <c r="G281" s="21">
        <f>G283+G284+G285+G286+G287+G288</f>
        <v>2482834.1840000004</v>
      </c>
      <c r="H281" s="21">
        <f t="shared" ref="H281:M281" si="21">H283+H284+H285+H286+H287+H288</f>
        <v>302360</v>
      </c>
      <c r="I281" s="21">
        <f t="shared" si="21"/>
        <v>2180474.1840000004</v>
      </c>
      <c r="J281" s="21">
        <f t="shared" si="21"/>
        <v>1304083.6500830036</v>
      </c>
      <c r="K281" s="21">
        <f t="shared" si="21"/>
        <v>1676032.9079920899</v>
      </c>
      <c r="L281" s="21">
        <f t="shared" si="21"/>
        <v>2069795.206075096</v>
      </c>
      <c r="M281" s="21">
        <f t="shared" si="21"/>
        <v>2482834.1840000004</v>
      </c>
    </row>
    <row r="282" spans="1:13" ht="40.5" x14ac:dyDescent="0.25">
      <c r="A282" s="64"/>
      <c r="B282" s="64"/>
      <c r="C282" s="64"/>
      <c r="D282" s="64"/>
      <c r="E282" s="71" t="s">
        <v>177</v>
      </c>
      <c r="F282" s="64"/>
      <c r="G282" s="21"/>
      <c r="H282" s="21"/>
      <c r="I282" s="21"/>
      <c r="J282" s="21"/>
      <c r="K282" s="21"/>
      <c r="L282" s="21"/>
      <c r="M282" s="21"/>
    </row>
    <row r="283" spans="1:13" x14ac:dyDescent="0.25">
      <c r="A283" s="64"/>
      <c r="B283" s="64"/>
      <c r="C283" s="64"/>
      <c r="D283" s="64"/>
      <c r="E283" s="71" t="s">
        <v>548</v>
      </c>
      <c r="F283" s="64">
        <v>4239</v>
      </c>
      <c r="G283" s="21">
        <f t="shared" ref="G283:G288" si="22">SUM(H283:I283)</f>
        <v>25000</v>
      </c>
      <c r="H283" s="21">
        <f>5000+20000</f>
        <v>25000</v>
      </c>
      <c r="I283" s="21"/>
      <c r="J283" s="146">
        <v>12154.1501976285</v>
      </c>
      <c r="K283" s="146">
        <v>12154.150197628458</v>
      </c>
      <c r="L283" s="146">
        <f t="shared" ref="L283" si="23">+G283/253*188</f>
        <v>18577.075098814228</v>
      </c>
      <c r="M283" s="146">
        <f t="shared" ref="M283:M288" si="24">+G283</f>
        <v>25000</v>
      </c>
    </row>
    <row r="284" spans="1:13" x14ac:dyDescent="0.25">
      <c r="A284" s="64"/>
      <c r="B284" s="64"/>
      <c r="C284" s="64"/>
      <c r="D284" s="64"/>
      <c r="E284" s="71" t="s">
        <v>549</v>
      </c>
      <c r="F284" s="64">
        <v>4251</v>
      </c>
      <c r="G284" s="21">
        <f t="shared" si="22"/>
        <v>216680</v>
      </c>
      <c r="H284" s="21">
        <v>216680</v>
      </c>
      <c r="I284" s="21"/>
      <c r="J284" s="146">
        <v>56818.339920948616</v>
      </c>
      <c r="K284" s="146">
        <v>111067.35177865613</v>
      </c>
      <c r="L284" s="146">
        <v>158873.67588932801</v>
      </c>
      <c r="M284" s="146">
        <f t="shared" si="24"/>
        <v>216680</v>
      </c>
    </row>
    <row r="285" spans="1:13" x14ac:dyDescent="0.25">
      <c r="A285" s="64"/>
      <c r="B285" s="64"/>
      <c r="C285" s="64"/>
      <c r="D285" s="64"/>
      <c r="E285" s="71" t="s">
        <v>169</v>
      </c>
      <c r="F285" s="64">
        <v>4269</v>
      </c>
      <c r="G285" s="21">
        <f t="shared" si="22"/>
        <v>60680</v>
      </c>
      <c r="H285" s="21">
        <v>60680</v>
      </c>
      <c r="I285" s="21"/>
      <c r="J285" s="146">
        <v>49403.320158102797</v>
      </c>
      <c r="K285" s="146">
        <v>49403.320158102797</v>
      </c>
      <c r="L285" s="146">
        <v>50403.320158102768</v>
      </c>
      <c r="M285" s="146">
        <f t="shared" si="24"/>
        <v>60680</v>
      </c>
    </row>
    <row r="286" spans="1:13" x14ac:dyDescent="0.25">
      <c r="A286" s="64"/>
      <c r="B286" s="64"/>
      <c r="C286" s="64"/>
      <c r="D286" s="64"/>
      <c r="E286" s="71" t="s">
        <v>594</v>
      </c>
      <c r="F286" s="64">
        <v>5113</v>
      </c>
      <c r="G286" s="21">
        <f t="shared" si="22"/>
        <v>1622659.5941400002</v>
      </c>
      <c r="H286" s="21"/>
      <c r="I286" s="21">
        <f>384000+1233672.30114+4987.293</f>
        <v>1622659.5941400002</v>
      </c>
      <c r="J286" s="146">
        <f>1002696.61529913+4987.293</f>
        <v>1007683.9082991299</v>
      </c>
      <c r="K286" s="146">
        <f>4987.293+1199102.46260956</f>
        <v>1204089.7556095601</v>
      </c>
      <c r="L286" s="146">
        <f>4987.293+1408387.38187478</f>
        <v>1413374.67487478</v>
      </c>
      <c r="M286" s="146">
        <f t="shared" si="24"/>
        <v>1622659.5941400002</v>
      </c>
    </row>
    <row r="287" spans="1:13" x14ac:dyDescent="0.25">
      <c r="A287" s="64"/>
      <c r="B287" s="64"/>
      <c r="C287" s="64"/>
      <c r="D287" s="64"/>
      <c r="E287" s="71" t="s">
        <v>174</v>
      </c>
      <c r="F287" s="64" t="s">
        <v>93</v>
      </c>
      <c r="G287" s="21">
        <f t="shared" si="22"/>
        <v>454933.989</v>
      </c>
      <c r="H287" s="21"/>
      <c r="I287" s="21">
        <v>454933.989</v>
      </c>
      <c r="J287" s="21">
        <v>111485.79967588933</v>
      </c>
      <c r="K287" s="21">
        <v>221173.44129249011</v>
      </c>
      <c r="L287" s="21">
        <v>338053.71514624503</v>
      </c>
      <c r="M287" s="21">
        <f t="shared" si="24"/>
        <v>454933.989</v>
      </c>
    </row>
    <row r="288" spans="1:13" x14ac:dyDescent="0.25">
      <c r="A288" s="64"/>
      <c r="B288" s="64"/>
      <c r="C288" s="64"/>
      <c r="D288" s="64"/>
      <c r="E288" s="71" t="s">
        <v>756</v>
      </c>
      <c r="F288" s="64" t="s">
        <v>99</v>
      </c>
      <c r="G288" s="21">
        <f t="shared" si="22"/>
        <v>102880.60086000001</v>
      </c>
      <c r="H288" s="21"/>
      <c r="I288" s="21">
        <f>41056.5+61824.10086</f>
        <v>102880.60086000001</v>
      </c>
      <c r="J288" s="146">
        <v>66538.131831304345</v>
      </c>
      <c r="K288" s="146">
        <v>78144.888955652175</v>
      </c>
      <c r="L288" s="146">
        <v>90512.744907826083</v>
      </c>
      <c r="M288" s="146">
        <f t="shared" si="24"/>
        <v>102880.60086000001</v>
      </c>
    </row>
    <row r="289" spans="1:13" x14ac:dyDescent="0.25">
      <c r="A289" s="64"/>
      <c r="B289" s="64"/>
      <c r="C289" s="64"/>
      <c r="D289" s="64"/>
      <c r="E289" s="71" t="s">
        <v>178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>
        <v>2452</v>
      </c>
      <c r="B290" s="64" t="s">
        <v>9</v>
      </c>
      <c r="C290" s="64">
        <v>5</v>
      </c>
      <c r="D290" s="64">
        <v>2</v>
      </c>
      <c r="E290" s="71" t="s">
        <v>256</v>
      </c>
      <c r="F290" s="64"/>
      <c r="G290" s="21"/>
      <c r="H290" s="21"/>
      <c r="I290" s="21"/>
      <c r="J290" s="21"/>
      <c r="K290" s="21"/>
      <c r="L290" s="21"/>
      <c r="M290" s="21"/>
    </row>
    <row r="291" spans="1:13" ht="40.5" x14ac:dyDescent="0.25">
      <c r="A291" s="64"/>
      <c r="B291" s="64"/>
      <c r="C291" s="64"/>
      <c r="D291" s="64"/>
      <c r="E291" s="71" t="s">
        <v>177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/>
      <c r="B292" s="64"/>
      <c r="C292" s="64"/>
      <c r="D292" s="64"/>
      <c r="E292" s="71" t="s">
        <v>178</v>
      </c>
      <c r="F292" s="64"/>
      <c r="G292" s="21"/>
      <c r="H292" s="21"/>
      <c r="I292" s="21"/>
      <c r="J292" s="21"/>
      <c r="K292" s="21"/>
      <c r="L292" s="21"/>
      <c r="M292" s="21"/>
    </row>
    <row r="293" spans="1:13" ht="53.25" customHeight="1" x14ac:dyDescent="0.25">
      <c r="A293" s="64"/>
      <c r="B293" s="64"/>
      <c r="C293" s="64"/>
      <c r="D293" s="64"/>
      <c r="E293" s="71" t="s">
        <v>178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>
        <v>2453</v>
      </c>
      <c r="B294" s="64" t="s">
        <v>9</v>
      </c>
      <c r="C294" s="64">
        <v>5</v>
      </c>
      <c r="D294" s="64">
        <v>3</v>
      </c>
      <c r="E294" s="71" t="s">
        <v>257</v>
      </c>
      <c r="F294" s="64"/>
      <c r="G294" s="21"/>
      <c r="H294" s="21"/>
      <c r="I294" s="21"/>
      <c r="J294" s="21"/>
      <c r="K294" s="21"/>
      <c r="L294" s="21"/>
      <c r="M294" s="21"/>
    </row>
    <row r="295" spans="1:13" ht="40.5" x14ac:dyDescent="0.25">
      <c r="A295" s="64"/>
      <c r="B295" s="64"/>
      <c r="C295" s="64"/>
      <c r="D295" s="64"/>
      <c r="E295" s="71" t="s">
        <v>177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/>
      <c r="B296" s="64"/>
      <c r="C296" s="64"/>
      <c r="D296" s="64"/>
      <c r="E296" s="71" t="s">
        <v>178</v>
      </c>
      <c r="F296" s="64"/>
      <c r="G296" s="21"/>
      <c r="H296" s="21"/>
      <c r="I296" s="21"/>
      <c r="J296" s="21"/>
      <c r="K296" s="21"/>
      <c r="L296" s="21"/>
      <c r="M296" s="21"/>
    </row>
    <row r="297" spans="1:13" ht="52.5" customHeight="1" x14ac:dyDescent="0.25">
      <c r="A297" s="64"/>
      <c r="B297" s="64"/>
      <c r="C297" s="64"/>
      <c r="D297" s="64"/>
      <c r="E297" s="71" t="s">
        <v>178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>
        <v>2454</v>
      </c>
      <c r="B298" s="64" t="s">
        <v>9</v>
      </c>
      <c r="C298" s="64">
        <v>5</v>
      </c>
      <c r="D298" s="64">
        <v>4</v>
      </c>
      <c r="E298" s="71" t="s">
        <v>258</v>
      </c>
      <c r="F298" s="64"/>
      <c r="G298" s="21"/>
      <c r="H298" s="21"/>
      <c r="I298" s="21"/>
      <c r="J298" s="21"/>
      <c r="K298" s="21"/>
      <c r="L298" s="21"/>
      <c r="M298" s="21"/>
    </row>
    <row r="299" spans="1:13" ht="40.5" x14ac:dyDescent="0.25">
      <c r="A299" s="64"/>
      <c r="B299" s="64"/>
      <c r="C299" s="64"/>
      <c r="D299" s="64"/>
      <c r="E299" s="71" t="s">
        <v>177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/>
      <c r="B300" s="64"/>
      <c r="C300" s="64"/>
      <c r="D300" s="64"/>
      <c r="E300" s="71" t="s">
        <v>178</v>
      </c>
      <c r="F300" s="64"/>
      <c r="G300" s="21"/>
      <c r="H300" s="21"/>
      <c r="I300" s="21"/>
      <c r="J300" s="21"/>
      <c r="K300" s="21"/>
      <c r="L300" s="21"/>
      <c r="M300" s="21"/>
    </row>
    <row r="301" spans="1:13" ht="51" customHeight="1" x14ac:dyDescent="0.25">
      <c r="A301" s="64"/>
      <c r="B301" s="64"/>
      <c r="C301" s="64"/>
      <c r="D301" s="64"/>
      <c r="E301" s="71" t="s">
        <v>178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>
        <v>2455</v>
      </c>
      <c r="B302" s="64" t="s">
        <v>9</v>
      </c>
      <c r="C302" s="64">
        <v>5</v>
      </c>
      <c r="D302" s="64">
        <v>5</v>
      </c>
      <c r="E302" s="71" t="s">
        <v>259</v>
      </c>
      <c r="F302" s="64"/>
      <c r="G302" s="21"/>
      <c r="H302" s="21"/>
      <c r="I302" s="21"/>
      <c r="J302" s="21"/>
      <c r="K302" s="21"/>
      <c r="L302" s="21"/>
      <c r="M302" s="21"/>
    </row>
    <row r="303" spans="1:13" ht="40.5" x14ac:dyDescent="0.25">
      <c r="A303" s="64"/>
      <c r="B303" s="64"/>
      <c r="C303" s="64"/>
      <c r="D303" s="64"/>
      <c r="E303" s="71" t="s">
        <v>177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/>
      <c r="B304" s="64"/>
      <c r="C304" s="64"/>
      <c r="D304" s="64"/>
      <c r="E304" s="71" t="s">
        <v>178</v>
      </c>
      <c r="F304" s="64"/>
      <c r="G304" s="21"/>
      <c r="H304" s="21"/>
      <c r="I304" s="21"/>
      <c r="J304" s="21"/>
      <c r="K304" s="21"/>
      <c r="L304" s="21"/>
      <c r="M304" s="21"/>
    </row>
    <row r="305" spans="1:13" x14ac:dyDescent="0.25">
      <c r="A305" s="64"/>
      <c r="B305" s="64"/>
      <c r="C305" s="64"/>
      <c r="D305" s="64"/>
      <c r="E305" s="71" t="s">
        <v>178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2460</v>
      </c>
      <c r="B306" s="64" t="s">
        <v>9</v>
      </c>
      <c r="C306" s="64">
        <v>6</v>
      </c>
      <c r="D306" s="64">
        <v>0</v>
      </c>
      <c r="E306" s="71" t="s">
        <v>260</v>
      </c>
      <c r="F306" s="64"/>
      <c r="G306" s="21"/>
      <c r="H306" s="21"/>
      <c r="I306" s="21"/>
      <c r="J306" s="21"/>
      <c r="K306" s="21"/>
      <c r="L306" s="21"/>
      <c r="M306" s="21"/>
    </row>
    <row r="307" spans="1:13" ht="52.5" customHeight="1" x14ac:dyDescent="0.25">
      <c r="A307" s="64"/>
      <c r="B307" s="64"/>
      <c r="C307" s="64"/>
      <c r="D307" s="64"/>
      <c r="E307" s="71" t="s">
        <v>156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>
        <v>2461</v>
      </c>
      <c r="B308" s="64" t="s">
        <v>9</v>
      </c>
      <c r="C308" s="64">
        <v>6</v>
      </c>
      <c r="D308" s="64">
        <v>1</v>
      </c>
      <c r="E308" s="71" t="s">
        <v>261</v>
      </c>
      <c r="F308" s="64"/>
      <c r="G308" s="21"/>
      <c r="H308" s="21"/>
      <c r="I308" s="21"/>
      <c r="J308" s="21"/>
      <c r="K308" s="21"/>
      <c r="L308" s="21"/>
      <c r="M308" s="21"/>
    </row>
    <row r="309" spans="1:13" ht="40.5" x14ac:dyDescent="0.25">
      <c r="A309" s="64"/>
      <c r="B309" s="64"/>
      <c r="C309" s="64"/>
      <c r="D309" s="64"/>
      <c r="E309" s="71" t="s">
        <v>177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/>
      <c r="B310" s="64"/>
      <c r="C310" s="64"/>
      <c r="D310" s="64"/>
      <c r="E310" s="71" t="s">
        <v>178</v>
      </c>
      <c r="F310" s="64"/>
      <c r="G310" s="21"/>
      <c r="H310" s="21"/>
      <c r="I310" s="21"/>
      <c r="J310" s="21"/>
      <c r="K310" s="21"/>
      <c r="L310" s="21"/>
      <c r="M310" s="21"/>
    </row>
    <row r="311" spans="1:13" x14ac:dyDescent="0.25">
      <c r="A311" s="64"/>
      <c r="B311" s="64"/>
      <c r="C311" s="64"/>
      <c r="D311" s="64"/>
      <c r="E311" s="71" t="s">
        <v>178</v>
      </c>
      <c r="F311" s="64"/>
      <c r="G311" s="21"/>
      <c r="H311" s="21"/>
      <c r="I311" s="21"/>
      <c r="J311" s="21"/>
      <c r="K311" s="21"/>
      <c r="L311" s="21"/>
      <c r="M311" s="21"/>
    </row>
    <row r="312" spans="1:13" x14ac:dyDescent="0.25">
      <c r="A312" s="64">
        <v>2470</v>
      </c>
      <c r="B312" s="64" t="s">
        <v>9</v>
      </c>
      <c r="C312" s="64">
        <v>7</v>
      </c>
      <c r="D312" s="64">
        <v>0</v>
      </c>
      <c r="E312" s="71" t="s">
        <v>262</v>
      </c>
      <c r="F312" s="64"/>
      <c r="G312" s="21"/>
      <c r="H312" s="21"/>
      <c r="I312" s="21"/>
      <c r="J312" s="21"/>
      <c r="K312" s="21"/>
      <c r="L312" s="21"/>
      <c r="M312" s="21"/>
    </row>
    <row r="313" spans="1:13" ht="52.5" customHeight="1" x14ac:dyDescent="0.25">
      <c r="A313" s="64"/>
      <c r="B313" s="64"/>
      <c r="C313" s="64"/>
      <c r="D313" s="64"/>
      <c r="E313" s="71" t="s">
        <v>156</v>
      </c>
      <c r="F313" s="64"/>
      <c r="G313" s="21"/>
      <c r="H313" s="21"/>
      <c r="I313" s="21"/>
      <c r="J313" s="21"/>
      <c r="K313" s="21"/>
      <c r="L313" s="21"/>
      <c r="M313" s="21"/>
    </row>
    <row r="314" spans="1:13" ht="27" x14ac:dyDescent="0.25">
      <c r="A314" s="64">
        <v>2471</v>
      </c>
      <c r="B314" s="64" t="s">
        <v>9</v>
      </c>
      <c r="C314" s="64">
        <v>7</v>
      </c>
      <c r="D314" s="64">
        <v>1</v>
      </c>
      <c r="E314" s="71" t="s">
        <v>263</v>
      </c>
      <c r="F314" s="64"/>
      <c r="G314" s="21"/>
      <c r="H314" s="21"/>
      <c r="I314" s="21"/>
      <c r="J314" s="21"/>
      <c r="K314" s="21"/>
      <c r="L314" s="21"/>
      <c r="M314" s="21"/>
    </row>
    <row r="315" spans="1:13" ht="40.5" x14ac:dyDescent="0.25">
      <c r="A315" s="64"/>
      <c r="B315" s="64"/>
      <c r="C315" s="64"/>
      <c r="D315" s="64"/>
      <c r="E315" s="71" t="s">
        <v>177</v>
      </c>
      <c r="F315" s="64"/>
      <c r="G315" s="21"/>
      <c r="H315" s="21"/>
      <c r="I315" s="21"/>
      <c r="J315" s="21"/>
      <c r="K315" s="21"/>
      <c r="L315" s="21"/>
      <c r="M315" s="21"/>
    </row>
    <row r="316" spans="1:13" ht="42" customHeight="1" x14ac:dyDescent="0.25">
      <c r="A316" s="64"/>
      <c r="B316" s="64"/>
      <c r="C316" s="64"/>
      <c r="D316" s="64"/>
      <c r="E316" s="71" t="s">
        <v>178</v>
      </c>
      <c r="F316" s="64"/>
      <c r="G316" s="21"/>
      <c r="H316" s="21"/>
      <c r="I316" s="21"/>
      <c r="J316" s="21"/>
      <c r="K316" s="21"/>
      <c r="L316" s="21"/>
      <c r="M316" s="21"/>
    </row>
    <row r="317" spans="1:13" ht="51.75" customHeight="1" x14ac:dyDescent="0.25">
      <c r="A317" s="64"/>
      <c r="B317" s="64"/>
      <c r="C317" s="64"/>
      <c r="D317" s="64"/>
      <c r="E317" s="71" t="s">
        <v>178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>
        <v>2472</v>
      </c>
      <c r="B318" s="64" t="s">
        <v>9</v>
      </c>
      <c r="C318" s="64">
        <v>7</v>
      </c>
      <c r="D318" s="64">
        <v>2</v>
      </c>
      <c r="E318" s="71" t="s">
        <v>264</v>
      </c>
      <c r="F318" s="64"/>
      <c r="G318" s="21"/>
      <c r="H318" s="21"/>
      <c r="I318" s="21"/>
      <c r="J318" s="21"/>
      <c r="K318" s="21"/>
      <c r="L318" s="21"/>
      <c r="M318" s="21"/>
    </row>
    <row r="319" spans="1:13" ht="40.5" x14ac:dyDescent="0.25">
      <c r="A319" s="64"/>
      <c r="B319" s="64"/>
      <c r="C319" s="64"/>
      <c r="D319" s="64"/>
      <c r="E319" s="71" t="s">
        <v>177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/>
      <c r="B320" s="64"/>
      <c r="C320" s="64"/>
      <c r="D320" s="64"/>
      <c r="E320" s="71" t="s">
        <v>178</v>
      </c>
      <c r="F320" s="64"/>
      <c r="G320" s="21"/>
      <c r="H320" s="21"/>
      <c r="I320" s="21"/>
      <c r="J320" s="21"/>
      <c r="K320" s="21"/>
      <c r="L320" s="21"/>
      <c r="M320" s="21"/>
    </row>
    <row r="321" spans="1:13" ht="51" customHeight="1" x14ac:dyDescent="0.25">
      <c r="A321" s="64"/>
      <c r="B321" s="64"/>
      <c r="C321" s="64"/>
      <c r="D321" s="64"/>
      <c r="E321" s="71" t="s">
        <v>178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>
        <v>2473</v>
      </c>
      <c r="B322" s="64" t="s">
        <v>9</v>
      </c>
      <c r="C322" s="64">
        <v>7</v>
      </c>
      <c r="D322" s="64">
        <v>3</v>
      </c>
      <c r="E322" s="71" t="s">
        <v>265</v>
      </c>
      <c r="F322" s="64"/>
      <c r="G322" s="21"/>
      <c r="H322" s="21"/>
      <c r="I322" s="21"/>
      <c r="J322" s="21"/>
      <c r="K322" s="21"/>
      <c r="L322" s="21"/>
      <c r="M322" s="21"/>
    </row>
    <row r="323" spans="1:13" ht="40.5" x14ac:dyDescent="0.25">
      <c r="A323" s="64"/>
      <c r="B323" s="64"/>
      <c r="C323" s="64"/>
      <c r="D323" s="64"/>
      <c r="E323" s="71" t="s">
        <v>177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/>
      <c r="B324" s="64"/>
      <c r="C324" s="64"/>
      <c r="D324" s="64"/>
      <c r="E324" s="71" t="s">
        <v>178</v>
      </c>
      <c r="F324" s="64"/>
      <c r="G324" s="21"/>
      <c r="H324" s="21"/>
      <c r="I324" s="21"/>
      <c r="J324" s="21"/>
      <c r="K324" s="21"/>
      <c r="L324" s="21"/>
      <c r="M324" s="21"/>
    </row>
    <row r="325" spans="1:13" ht="51" customHeight="1" x14ac:dyDescent="0.25">
      <c r="A325" s="64"/>
      <c r="B325" s="64"/>
      <c r="C325" s="64"/>
      <c r="D325" s="64"/>
      <c r="E325" s="71" t="s">
        <v>178</v>
      </c>
      <c r="F325" s="64"/>
      <c r="G325" s="21"/>
      <c r="H325" s="21"/>
      <c r="I325" s="21"/>
      <c r="J325" s="21"/>
      <c r="K325" s="21"/>
      <c r="L325" s="21"/>
      <c r="M325" s="21"/>
    </row>
    <row r="326" spans="1:13" x14ac:dyDescent="0.25">
      <c r="A326" s="64">
        <v>2474</v>
      </c>
      <c r="B326" s="64" t="s">
        <v>9</v>
      </c>
      <c r="C326" s="64">
        <v>7</v>
      </c>
      <c r="D326" s="64">
        <v>4</v>
      </c>
      <c r="E326" s="71" t="s">
        <v>266</v>
      </c>
      <c r="F326" s="64"/>
      <c r="G326" s="21"/>
      <c r="H326" s="21"/>
      <c r="I326" s="21"/>
      <c r="J326" s="21"/>
      <c r="K326" s="21"/>
      <c r="L326" s="21"/>
      <c r="M326" s="21"/>
    </row>
    <row r="327" spans="1:13" ht="40.5" x14ac:dyDescent="0.25">
      <c r="A327" s="64"/>
      <c r="B327" s="64"/>
      <c r="C327" s="64"/>
      <c r="D327" s="64"/>
      <c r="E327" s="71" t="s">
        <v>177</v>
      </c>
      <c r="F327" s="64"/>
      <c r="G327" s="21"/>
      <c r="H327" s="21"/>
      <c r="I327" s="21"/>
      <c r="J327" s="21"/>
      <c r="K327" s="21"/>
      <c r="L327" s="21"/>
      <c r="M327" s="21"/>
    </row>
    <row r="328" spans="1:13" ht="50.25" customHeight="1" x14ac:dyDescent="0.25">
      <c r="A328" s="64"/>
      <c r="B328" s="64"/>
      <c r="C328" s="64"/>
      <c r="D328" s="64"/>
      <c r="E328" s="71" t="s">
        <v>178</v>
      </c>
      <c r="F328" s="64"/>
      <c r="G328" s="21"/>
      <c r="H328" s="21"/>
      <c r="I328" s="21"/>
      <c r="J328" s="21"/>
      <c r="K328" s="21"/>
      <c r="L328" s="21"/>
      <c r="M328" s="21"/>
    </row>
    <row r="329" spans="1:13" x14ac:dyDescent="0.25">
      <c r="A329" s="64"/>
      <c r="B329" s="64"/>
      <c r="C329" s="64"/>
      <c r="D329" s="64"/>
      <c r="E329" s="71" t="s">
        <v>178</v>
      </c>
      <c r="F329" s="64"/>
      <c r="G329" s="21"/>
      <c r="H329" s="21"/>
      <c r="I329" s="21"/>
      <c r="J329" s="21"/>
      <c r="K329" s="21"/>
      <c r="L329" s="21"/>
      <c r="M329" s="21"/>
    </row>
    <row r="330" spans="1:13" ht="64.5" customHeight="1" x14ac:dyDescent="0.25">
      <c r="A330" s="64">
        <v>2480</v>
      </c>
      <c r="B330" s="64" t="s">
        <v>9</v>
      </c>
      <c r="C330" s="64">
        <v>8</v>
      </c>
      <c r="D330" s="64">
        <v>0</v>
      </c>
      <c r="E330" s="71" t="s">
        <v>267</v>
      </c>
      <c r="F330" s="64"/>
      <c r="G330" s="21"/>
      <c r="H330" s="21"/>
      <c r="I330" s="21"/>
      <c r="J330" s="21"/>
      <c r="K330" s="21"/>
      <c r="L330" s="21"/>
      <c r="M330" s="21"/>
    </row>
    <row r="331" spans="1:13" ht="51.75" customHeight="1" x14ac:dyDescent="0.25">
      <c r="A331" s="64"/>
      <c r="B331" s="64"/>
      <c r="C331" s="64"/>
      <c r="D331" s="64"/>
      <c r="E331" s="71" t="s">
        <v>156</v>
      </c>
      <c r="F331" s="64"/>
      <c r="G331" s="21"/>
      <c r="H331" s="21"/>
      <c r="I331" s="21"/>
      <c r="J331" s="21"/>
      <c r="K331" s="21"/>
      <c r="L331" s="21"/>
      <c r="M331" s="21"/>
    </row>
    <row r="332" spans="1:13" ht="40.5" x14ac:dyDescent="0.25">
      <c r="A332" s="64">
        <v>2481</v>
      </c>
      <c r="B332" s="64" t="s">
        <v>9</v>
      </c>
      <c r="C332" s="64">
        <v>8</v>
      </c>
      <c r="D332" s="64">
        <v>1</v>
      </c>
      <c r="E332" s="71" t="s">
        <v>268</v>
      </c>
      <c r="F332" s="64"/>
      <c r="G332" s="21"/>
      <c r="H332" s="21"/>
      <c r="I332" s="21"/>
      <c r="J332" s="21"/>
      <c r="K332" s="21"/>
      <c r="L332" s="21"/>
      <c r="M332" s="21"/>
    </row>
    <row r="333" spans="1:13" ht="40.5" x14ac:dyDescent="0.25">
      <c r="A333" s="64"/>
      <c r="B333" s="64"/>
      <c r="C333" s="64"/>
      <c r="D333" s="64"/>
      <c r="E333" s="71" t="s">
        <v>177</v>
      </c>
      <c r="F333" s="64"/>
      <c r="G333" s="21"/>
      <c r="H333" s="21"/>
      <c r="I333" s="21"/>
      <c r="J333" s="21"/>
      <c r="K333" s="21"/>
      <c r="L333" s="21"/>
      <c r="M333" s="21"/>
    </row>
    <row r="334" spans="1:13" ht="67.5" customHeight="1" x14ac:dyDescent="0.25">
      <c r="A334" s="64"/>
      <c r="B334" s="64"/>
      <c r="C334" s="64"/>
      <c r="D334" s="64"/>
      <c r="E334" s="71" t="s">
        <v>178</v>
      </c>
      <c r="F334" s="64"/>
      <c r="G334" s="21"/>
      <c r="H334" s="21"/>
      <c r="I334" s="21"/>
      <c r="J334" s="21"/>
      <c r="K334" s="21"/>
      <c r="L334" s="21"/>
      <c r="M334" s="21"/>
    </row>
    <row r="335" spans="1:13" ht="54" customHeight="1" x14ac:dyDescent="0.25">
      <c r="A335" s="64"/>
      <c r="B335" s="64"/>
      <c r="C335" s="64"/>
      <c r="D335" s="64"/>
      <c r="E335" s="71" t="s">
        <v>178</v>
      </c>
      <c r="F335" s="64"/>
      <c r="G335" s="21"/>
      <c r="H335" s="21"/>
      <c r="I335" s="21"/>
      <c r="J335" s="21"/>
      <c r="K335" s="21"/>
      <c r="L335" s="21"/>
      <c r="M335" s="21"/>
    </row>
    <row r="336" spans="1:13" ht="40.5" x14ac:dyDescent="0.25">
      <c r="A336" s="64">
        <v>2482</v>
      </c>
      <c r="B336" s="64" t="s">
        <v>9</v>
      </c>
      <c r="C336" s="64">
        <v>8</v>
      </c>
      <c r="D336" s="64">
        <v>2</v>
      </c>
      <c r="E336" s="71" t="s">
        <v>269</v>
      </c>
      <c r="F336" s="64"/>
      <c r="G336" s="21"/>
      <c r="H336" s="21"/>
      <c r="I336" s="21"/>
      <c r="J336" s="21"/>
      <c r="K336" s="21"/>
      <c r="L336" s="21"/>
      <c r="M336" s="21"/>
    </row>
    <row r="337" spans="1:13" ht="40.5" x14ac:dyDescent="0.25">
      <c r="A337" s="64"/>
      <c r="B337" s="64"/>
      <c r="C337" s="64"/>
      <c r="D337" s="64"/>
      <c r="E337" s="71" t="s">
        <v>177</v>
      </c>
      <c r="F337" s="64"/>
      <c r="G337" s="21"/>
      <c r="H337" s="21"/>
      <c r="I337" s="21"/>
      <c r="J337" s="21"/>
      <c r="K337" s="21"/>
      <c r="L337" s="21"/>
      <c r="M337" s="21"/>
    </row>
    <row r="338" spans="1:13" x14ac:dyDescent="0.25">
      <c r="A338" s="64"/>
      <c r="B338" s="64"/>
      <c r="C338" s="64"/>
      <c r="D338" s="64"/>
      <c r="E338" s="71" t="s">
        <v>178</v>
      </c>
      <c r="F338" s="64"/>
      <c r="G338" s="21"/>
      <c r="H338" s="21"/>
      <c r="I338" s="21"/>
      <c r="J338" s="21"/>
      <c r="K338" s="21"/>
      <c r="L338" s="21"/>
      <c r="M338" s="21"/>
    </row>
    <row r="339" spans="1:13" x14ac:dyDescent="0.25">
      <c r="A339" s="64"/>
      <c r="B339" s="64"/>
      <c r="C339" s="64"/>
      <c r="D339" s="64"/>
      <c r="E339" s="71" t="s">
        <v>178</v>
      </c>
      <c r="F339" s="64"/>
      <c r="G339" s="21"/>
      <c r="H339" s="21"/>
      <c r="I339" s="21"/>
      <c r="J339" s="21"/>
      <c r="K339" s="21"/>
      <c r="L339" s="21"/>
      <c r="M339" s="21"/>
    </row>
    <row r="340" spans="1:13" ht="27" x14ac:dyDescent="0.25">
      <c r="A340" s="64">
        <v>2483</v>
      </c>
      <c r="B340" s="64" t="s">
        <v>9</v>
      </c>
      <c r="C340" s="64">
        <v>8</v>
      </c>
      <c r="D340" s="64">
        <v>3</v>
      </c>
      <c r="E340" s="71" t="s">
        <v>270</v>
      </c>
      <c r="F340" s="64"/>
      <c r="G340" s="21"/>
      <c r="H340" s="21"/>
      <c r="I340" s="21"/>
      <c r="J340" s="21"/>
      <c r="K340" s="21"/>
      <c r="L340" s="21"/>
      <c r="M340" s="21"/>
    </row>
    <row r="341" spans="1:13" ht="40.5" x14ac:dyDescent="0.25">
      <c r="A341" s="64"/>
      <c r="B341" s="64"/>
      <c r="C341" s="64"/>
      <c r="D341" s="64"/>
      <c r="E341" s="71" t="s">
        <v>177</v>
      </c>
      <c r="F341" s="64"/>
      <c r="G341" s="21"/>
      <c r="H341" s="21"/>
      <c r="I341" s="21"/>
      <c r="J341" s="21"/>
      <c r="K341" s="21"/>
      <c r="L341" s="21"/>
      <c r="M341" s="21"/>
    </row>
    <row r="342" spans="1:13" x14ac:dyDescent="0.25">
      <c r="A342" s="64"/>
      <c r="B342" s="64"/>
      <c r="C342" s="64"/>
      <c r="D342" s="64"/>
      <c r="E342" s="71" t="s">
        <v>178</v>
      </c>
      <c r="F342" s="64"/>
      <c r="G342" s="21"/>
      <c r="H342" s="21"/>
      <c r="I342" s="21"/>
      <c r="J342" s="21"/>
      <c r="K342" s="21"/>
      <c r="L342" s="21"/>
      <c r="M342" s="21"/>
    </row>
    <row r="343" spans="1:13" ht="56.25" customHeight="1" x14ac:dyDescent="0.25">
      <c r="A343" s="64"/>
      <c r="B343" s="64"/>
      <c r="C343" s="64"/>
      <c r="D343" s="64"/>
      <c r="E343" s="71" t="s">
        <v>178</v>
      </c>
      <c r="F343" s="64"/>
      <c r="G343" s="21"/>
      <c r="H343" s="21"/>
      <c r="I343" s="21"/>
      <c r="J343" s="21"/>
      <c r="K343" s="21"/>
      <c r="L343" s="21"/>
      <c r="M343" s="21"/>
    </row>
    <row r="344" spans="1:13" ht="40.5" x14ac:dyDescent="0.25">
      <c r="A344" s="64">
        <v>2484</v>
      </c>
      <c r="B344" s="64" t="s">
        <v>9</v>
      </c>
      <c r="C344" s="64">
        <v>8</v>
      </c>
      <c r="D344" s="64">
        <v>4</v>
      </c>
      <c r="E344" s="71" t="s">
        <v>271</v>
      </c>
      <c r="F344" s="64"/>
      <c r="G344" s="21"/>
      <c r="H344" s="21"/>
      <c r="I344" s="21"/>
      <c r="J344" s="21"/>
      <c r="K344" s="21"/>
      <c r="L344" s="21"/>
      <c r="M344" s="21"/>
    </row>
    <row r="345" spans="1:13" ht="40.5" x14ac:dyDescent="0.25">
      <c r="A345" s="64"/>
      <c r="B345" s="64"/>
      <c r="C345" s="64"/>
      <c r="D345" s="64"/>
      <c r="E345" s="71" t="s">
        <v>177</v>
      </c>
      <c r="F345" s="64"/>
      <c r="G345" s="21"/>
      <c r="H345" s="21"/>
      <c r="I345" s="21"/>
      <c r="J345" s="21"/>
      <c r="K345" s="21"/>
      <c r="L345" s="21"/>
      <c r="M345" s="21"/>
    </row>
    <row r="346" spans="1:13" ht="44.25" customHeight="1" x14ac:dyDescent="0.25">
      <c r="A346" s="64"/>
      <c r="B346" s="64"/>
      <c r="C346" s="64"/>
      <c r="D346" s="64"/>
      <c r="E346" s="71" t="s">
        <v>178</v>
      </c>
      <c r="F346" s="64"/>
      <c r="G346" s="21"/>
      <c r="H346" s="21"/>
      <c r="I346" s="21"/>
      <c r="J346" s="21"/>
      <c r="K346" s="21"/>
      <c r="L346" s="21"/>
      <c r="M346" s="21"/>
    </row>
    <row r="347" spans="1:13" x14ac:dyDescent="0.25">
      <c r="A347" s="64"/>
      <c r="B347" s="64"/>
      <c r="C347" s="64"/>
      <c r="D347" s="64"/>
      <c r="E347" s="71" t="s">
        <v>178</v>
      </c>
      <c r="F347" s="64"/>
      <c r="G347" s="21"/>
      <c r="H347" s="21"/>
      <c r="I347" s="21"/>
      <c r="J347" s="21"/>
      <c r="K347" s="21"/>
      <c r="L347" s="21"/>
      <c r="M347" s="21"/>
    </row>
    <row r="348" spans="1:13" ht="46.5" customHeight="1" x14ac:dyDescent="0.25">
      <c r="A348" s="64">
        <v>2490</v>
      </c>
      <c r="B348" s="64" t="s">
        <v>9</v>
      </c>
      <c r="C348" s="64">
        <v>9</v>
      </c>
      <c r="D348" s="64">
        <v>0</v>
      </c>
      <c r="E348" s="71" t="s">
        <v>275</v>
      </c>
      <c r="F348" s="64"/>
      <c r="G348" s="21">
        <f t="shared" ref="G348:M348" si="25">SUM(G350)</f>
        <v>-1543265</v>
      </c>
      <c r="H348" s="21">
        <f t="shared" si="25"/>
        <v>0</v>
      </c>
      <c r="I348" s="21">
        <f t="shared" si="25"/>
        <v>-1543265</v>
      </c>
      <c r="J348" s="21">
        <f t="shared" si="25"/>
        <v>-514522.742212885</v>
      </c>
      <c r="K348" s="21">
        <f t="shared" si="25"/>
        <v>-881643.93830260844</v>
      </c>
      <c r="L348" s="21">
        <f t="shared" si="25"/>
        <v>-1280138.6865504344</v>
      </c>
      <c r="M348" s="21">
        <f t="shared" si="25"/>
        <v>-1543265</v>
      </c>
    </row>
    <row r="349" spans="1:13" ht="48.75" customHeight="1" x14ac:dyDescent="0.25">
      <c r="A349" s="64"/>
      <c r="B349" s="64"/>
      <c r="C349" s="64"/>
      <c r="D349" s="64"/>
      <c r="E349" s="71" t="s">
        <v>156</v>
      </c>
      <c r="F349" s="64"/>
      <c r="G349" s="21"/>
      <c r="H349" s="21"/>
      <c r="I349" s="21"/>
      <c r="J349" s="21"/>
      <c r="K349" s="21"/>
      <c r="L349" s="21"/>
      <c r="M349" s="21"/>
    </row>
    <row r="350" spans="1:13" ht="27" x14ac:dyDescent="0.25">
      <c r="A350" s="64">
        <v>2491</v>
      </c>
      <c r="B350" s="64" t="s">
        <v>9</v>
      </c>
      <c r="C350" s="64">
        <v>9</v>
      </c>
      <c r="D350" s="64">
        <v>1</v>
      </c>
      <c r="E350" s="71" t="s">
        <v>275</v>
      </c>
      <c r="F350" s="64"/>
      <c r="G350" s="21">
        <f>H350+I350</f>
        <v>-1543265</v>
      </c>
      <c r="H350" s="21"/>
      <c r="I350" s="21">
        <v>-1543265</v>
      </c>
      <c r="J350" s="146">
        <v>-514522.742212885</v>
      </c>
      <c r="K350" s="146">
        <v>-881643.93830260844</v>
      </c>
      <c r="L350" s="146">
        <v>-1280138.6865504344</v>
      </c>
      <c r="M350" s="146">
        <f t="shared" ref="M350" si="26">+G350</f>
        <v>-1543265</v>
      </c>
    </row>
    <row r="351" spans="1:13" ht="40.5" x14ac:dyDescent="0.25">
      <c r="A351" s="64"/>
      <c r="B351" s="64"/>
      <c r="C351" s="64"/>
      <c r="D351" s="64"/>
      <c r="E351" s="71" t="s">
        <v>177</v>
      </c>
      <c r="F351" s="64"/>
      <c r="G351" s="21"/>
      <c r="H351" s="21"/>
      <c r="I351" s="21"/>
      <c r="J351" s="21"/>
      <c r="K351" s="21"/>
      <c r="L351" s="21"/>
      <c r="M351" s="21"/>
    </row>
    <row r="352" spans="1:13" x14ac:dyDescent="0.25">
      <c r="A352" s="64"/>
      <c r="B352" s="64"/>
      <c r="C352" s="64"/>
      <c r="D352" s="64"/>
      <c r="E352" s="71" t="s">
        <v>178</v>
      </c>
      <c r="F352" s="64"/>
      <c r="G352" s="21"/>
      <c r="H352" s="21"/>
      <c r="I352" s="21"/>
      <c r="J352" s="21"/>
      <c r="K352" s="21"/>
      <c r="L352" s="21"/>
      <c r="M352" s="21"/>
    </row>
    <row r="353" spans="1:15" x14ac:dyDescent="0.25">
      <c r="A353" s="64"/>
      <c r="B353" s="64"/>
      <c r="C353" s="64"/>
      <c r="D353" s="64"/>
      <c r="E353" s="71" t="s">
        <v>178</v>
      </c>
      <c r="F353" s="64"/>
      <c r="G353" s="21"/>
      <c r="H353" s="21"/>
      <c r="I353" s="21"/>
      <c r="J353" s="21"/>
      <c r="K353" s="21"/>
      <c r="L353" s="21"/>
      <c r="M353" s="21"/>
    </row>
    <row r="354" spans="1:15" ht="40.5" x14ac:dyDescent="0.25">
      <c r="A354" s="64">
        <v>2500</v>
      </c>
      <c r="B354" s="64" t="s">
        <v>10</v>
      </c>
      <c r="C354" s="64">
        <v>0</v>
      </c>
      <c r="D354" s="64">
        <v>0</v>
      </c>
      <c r="E354" s="71" t="s">
        <v>276</v>
      </c>
      <c r="F354" s="64"/>
      <c r="G354" s="21">
        <f t="shared" ref="G354:M354" si="27">G356+G373+G379+G385+G391+G397</f>
        <v>1040179.5559999999</v>
      </c>
      <c r="H354" s="21">
        <f t="shared" si="27"/>
        <v>894633.82899999991</v>
      </c>
      <c r="I354" s="21">
        <f t="shared" si="27"/>
        <v>145545.72700000001</v>
      </c>
      <c r="J354" s="21">
        <f t="shared" si="27"/>
        <v>278599.51989723369</v>
      </c>
      <c r="K354" s="21">
        <f t="shared" si="27"/>
        <v>534126.24499209505</v>
      </c>
      <c r="L354" s="21">
        <f t="shared" si="27"/>
        <v>785187.97954743076</v>
      </c>
      <c r="M354" s="21">
        <f t="shared" si="27"/>
        <v>1040179.5559999999</v>
      </c>
    </row>
    <row r="355" spans="1:15" x14ac:dyDescent="0.25">
      <c r="A355" s="64"/>
      <c r="B355" s="64"/>
      <c r="C355" s="64"/>
      <c r="D355" s="64"/>
      <c r="E355" s="71" t="s">
        <v>154</v>
      </c>
      <c r="F355" s="64"/>
      <c r="G355" s="21"/>
      <c r="H355" s="21"/>
      <c r="I355" s="21"/>
      <c r="J355" s="21"/>
      <c r="K355" s="21"/>
      <c r="L355" s="21"/>
      <c r="M355" s="21"/>
    </row>
    <row r="356" spans="1:15" x14ac:dyDescent="0.25">
      <c r="A356" s="64">
        <v>2510</v>
      </c>
      <c r="B356" s="64" t="s">
        <v>10</v>
      </c>
      <c r="C356" s="64">
        <v>1</v>
      </c>
      <c r="D356" s="64">
        <v>0</v>
      </c>
      <c r="E356" s="71" t="s">
        <v>277</v>
      </c>
      <c r="F356" s="64"/>
      <c r="G356" s="21">
        <f t="shared" ref="G356:M356" si="28">G358</f>
        <v>703684.82899999991</v>
      </c>
      <c r="H356" s="21">
        <f t="shared" si="28"/>
        <v>701684.82899999991</v>
      </c>
      <c r="I356" s="21">
        <f t="shared" si="28"/>
        <v>2000</v>
      </c>
      <c r="J356" s="21">
        <f t="shared" si="28"/>
        <v>177781.09351778711</v>
      </c>
      <c r="K356" s="21">
        <f t="shared" si="28"/>
        <v>360807.33028458513</v>
      </c>
      <c r="L356" s="21">
        <f t="shared" si="28"/>
        <v>532190.74367391295</v>
      </c>
      <c r="M356" s="21">
        <f t="shared" si="28"/>
        <v>703684.82899999991</v>
      </c>
    </row>
    <row r="357" spans="1:15" ht="50.25" customHeight="1" x14ac:dyDescent="0.25">
      <c r="A357" s="64"/>
      <c r="B357" s="64"/>
      <c r="C357" s="64"/>
      <c r="D357" s="64"/>
      <c r="E357" s="71" t="s">
        <v>156</v>
      </c>
      <c r="F357" s="64"/>
      <c r="G357" s="21"/>
      <c r="H357" s="21"/>
      <c r="I357" s="21"/>
      <c r="J357" s="21"/>
      <c r="K357" s="21"/>
      <c r="L357" s="21"/>
      <c r="M357" s="21"/>
    </row>
    <row r="358" spans="1:15" ht="27" customHeight="1" x14ac:dyDescent="0.25">
      <c r="A358" s="64">
        <v>2511</v>
      </c>
      <c r="B358" s="64" t="s">
        <v>10</v>
      </c>
      <c r="C358" s="64">
        <v>1</v>
      </c>
      <c r="D358" s="64">
        <v>1</v>
      </c>
      <c r="E358" s="71" t="s">
        <v>277</v>
      </c>
      <c r="F358" s="64"/>
      <c r="G358" s="21">
        <f>SUM(G360:G372)</f>
        <v>703684.82899999991</v>
      </c>
      <c r="H358" s="21">
        <f t="shared" ref="H358:M358" si="29">SUM(H360:H372)</f>
        <v>701684.82899999991</v>
      </c>
      <c r="I358" s="21">
        <f t="shared" si="29"/>
        <v>2000</v>
      </c>
      <c r="J358" s="21">
        <f t="shared" si="29"/>
        <v>177781.09351778711</v>
      </c>
      <c r="K358" s="21">
        <f t="shared" si="29"/>
        <v>360807.33028458513</v>
      </c>
      <c r="L358" s="21">
        <f t="shared" si="29"/>
        <v>532190.74367391295</v>
      </c>
      <c r="M358" s="21">
        <f t="shared" si="29"/>
        <v>703684.82899999991</v>
      </c>
    </row>
    <row r="359" spans="1:15" ht="40.5" x14ac:dyDescent="0.25">
      <c r="A359" s="64"/>
      <c r="B359" s="64"/>
      <c r="C359" s="64"/>
      <c r="D359" s="64"/>
      <c r="E359" s="71" t="s">
        <v>177</v>
      </c>
      <c r="F359" s="64"/>
      <c r="G359" s="21"/>
      <c r="H359" s="21"/>
      <c r="I359" s="21"/>
      <c r="J359" s="21"/>
      <c r="K359" s="21"/>
      <c r="L359" s="21"/>
      <c r="M359" s="21"/>
    </row>
    <row r="360" spans="1:15" ht="18.75" customHeight="1" x14ac:dyDescent="0.25">
      <c r="A360" s="64"/>
      <c r="B360" s="64"/>
      <c r="C360" s="64"/>
      <c r="D360" s="64"/>
      <c r="E360" s="71" t="s">
        <v>158</v>
      </c>
      <c r="F360" s="64" t="s">
        <v>20</v>
      </c>
      <c r="G360" s="21">
        <f t="shared" ref="G360:G364" si="30">SUM(H360:I360)</f>
        <v>578120.36899999995</v>
      </c>
      <c r="H360" s="21">
        <v>578120.36899999995</v>
      </c>
      <c r="I360" s="21"/>
      <c r="J360" s="146">
        <v>132247.07225296501</v>
      </c>
      <c r="K360" s="146">
        <v>295050.89399999997</v>
      </c>
      <c r="L360" s="146">
        <v>436585.63149999996</v>
      </c>
      <c r="M360" s="146">
        <f t="shared" ref="M360:M372" si="31">+G360</f>
        <v>578120.36899999995</v>
      </c>
    </row>
    <row r="361" spans="1:15" ht="18" customHeight="1" x14ac:dyDescent="0.25">
      <c r="A361" s="64"/>
      <c r="B361" s="64"/>
      <c r="C361" s="64"/>
      <c r="D361" s="64"/>
      <c r="E361" s="71" t="s">
        <v>601</v>
      </c>
      <c r="F361" s="64" t="s">
        <v>30</v>
      </c>
      <c r="G361" s="21">
        <f t="shared" si="30"/>
        <v>1028</v>
      </c>
      <c r="H361" s="21">
        <v>1028</v>
      </c>
      <c r="I361" s="21"/>
      <c r="J361" s="146">
        <v>490.11857707509881</v>
      </c>
      <c r="K361" s="146">
        <v>514.16600790513826</v>
      </c>
      <c r="L361" s="146">
        <v>514.16600790513826</v>
      </c>
      <c r="M361" s="146">
        <f t="shared" si="31"/>
        <v>1028</v>
      </c>
      <c r="O361" s="154"/>
    </row>
    <row r="362" spans="1:15" ht="18" customHeight="1" x14ac:dyDescent="0.25">
      <c r="A362" s="64"/>
      <c r="B362" s="64"/>
      <c r="C362" s="64"/>
      <c r="D362" s="64"/>
      <c r="E362" s="71" t="s">
        <v>558</v>
      </c>
      <c r="F362" s="64">
        <v>4221</v>
      </c>
      <c r="G362" s="21">
        <f t="shared" si="30"/>
        <v>200</v>
      </c>
      <c r="H362" s="21">
        <v>200</v>
      </c>
      <c r="I362" s="21"/>
      <c r="J362" s="146">
        <v>0</v>
      </c>
      <c r="K362" s="146">
        <v>0</v>
      </c>
      <c r="L362" s="146">
        <v>200</v>
      </c>
      <c r="M362" s="146">
        <f t="shared" si="31"/>
        <v>200</v>
      </c>
      <c r="O362" s="154"/>
    </row>
    <row r="363" spans="1:15" ht="18" customHeight="1" x14ac:dyDescent="0.25">
      <c r="A363" s="64"/>
      <c r="B363" s="64"/>
      <c r="C363" s="64"/>
      <c r="D363" s="64"/>
      <c r="E363" s="71" t="s">
        <v>548</v>
      </c>
      <c r="F363" s="64" t="s">
        <v>40</v>
      </c>
      <c r="G363" s="21">
        <f t="shared" si="30"/>
        <v>13039.21</v>
      </c>
      <c r="H363" s="21">
        <v>13039.21</v>
      </c>
      <c r="I363" s="21"/>
      <c r="J363" s="146">
        <v>3224.9807509881421</v>
      </c>
      <c r="K363" s="146">
        <v>6359.3681027667981</v>
      </c>
      <c r="L363" s="146">
        <v>9699.2890513833972</v>
      </c>
      <c r="M363" s="146">
        <f t="shared" si="31"/>
        <v>13039.21</v>
      </c>
    </row>
    <row r="364" spans="1:15" ht="18" customHeight="1" x14ac:dyDescent="0.25">
      <c r="A364" s="64"/>
      <c r="B364" s="64"/>
      <c r="C364" s="64"/>
      <c r="D364" s="64"/>
      <c r="E364" s="71" t="s">
        <v>479</v>
      </c>
      <c r="F364" s="64" t="s">
        <v>82</v>
      </c>
      <c r="G364" s="21">
        <f t="shared" si="30"/>
        <v>1700</v>
      </c>
      <c r="H364" s="21">
        <v>1700</v>
      </c>
      <c r="I364" s="21"/>
      <c r="J364" s="146">
        <v>416.600790513834</v>
      </c>
      <c r="K364" s="146">
        <v>826.48221343873524</v>
      </c>
      <c r="L364" s="146">
        <v>1263.2411067193677</v>
      </c>
      <c r="M364" s="146">
        <f t="shared" si="31"/>
        <v>1700</v>
      </c>
    </row>
    <row r="365" spans="1:15" ht="18" customHeight="1" x14ac:dyDescent="0.25">
      <c r="A365" s="64"/>
      <c r="B365" s="64"/>
      <c r="C365" s="64"/>
      <c r="D365" s="64"/>
      <c r="E365" s="71" t="s">
        <v>751</v>
      </c>
      <c r="F365" s="64" t="s">
        <v>29</v>
      </c>
      <c r="G365" s="21">
        <f t="shared" ref="G365:G372" si="32">SUM(H365:I365)</f>
        <v>0</v>
      </c>
      <c r="H365" s="21">
        <v>0</v>
      </c>
      <c r="I365" s="21"/>
      <c r="J365" s="146">
        <v>0</v>
      </c>
      <c r="K365" s="146">
        <v>0</v>
      </c>
      <c r="L365" s="146">
        <v>0</v>
      </c>
      <c r="M365" s="146">
        <f t="shared" si="31"/>
        <v>0</v>
      </c>
    </row>
    <row r="366" spans="1:15" ht="18" customHeight="1" x14ac:dyDescent="0.25">
      <c r="A366" s="64"/>
      <c r="B366" s="64"/>
      <c r="C366" s="64"/>
      <c r="D366" s="64"/>
      <c r="E366" s="71" t="s">
        <v>542</v>
      </c>
      <c r="F366" s="64" t="s">
        <v>41</v>
      </c>
      <c r="G366" s="21">
        <f t="shared" si="32"/>
        <v>351</v>
      </c>
      <c r="H366" s="21">
        <v>351</v>
      </c>
      <c r="I366" s="21"/>
      <c r="J366" s="146">
        <v>86.015810276679844</v>
      </c>
      <c r="K366" s="146">
        <v>170.64426877470356</v>
      </c>
      <c r="L366" s="146">
        <v>260.82213438735175</v>
      </c>
      <c r="M366" s="146">
        <f t="shared" si="31"/>
        <v>351</v>
      </c>
    </row>
    <row r="367" spans="1:15" ht="27" x14ac:dyDescent="0.25">
      <c r="A367" s="64"/>
      <c r="B367" s="64"/>
      <c r="C367" s="64"/>
      <c r="D367" s="64"/>
      <c r="E367" s="71" t="s">
        <v>412</v>
      </c>
      <c r="F367" s="64">
        <v>4252</v>
      </c>
      <c r="G367" s="21">
        <f t="shared" si="32"/>
        <v>4087</v>
      </c>
      <c r="H367" s="21">
        <v>4087</v>
      </c>
      <c r="I367" s="21"/>
      <c r="J367" s="146">
        <v>2231.664031620553</v>
      </c>
      <c r="K367" s="146">
        <v>2231.664031620553</v>
      </c>
      <c r="L367" s="146">
        <v>3059.3320158102802</v>
      </c>
      <c r="M367" s="146">
        <f t="shared" si="31"/>
        <v>4087</v>
      </c>
    </row>
    <row r="368" spans="1:15" x14ac:dyDescent="0.25">
      <c r="A368" s="64"/>
      <c r="B368" s="64"/>
      <c r="C368" s="64"/>
      <c r="D368" s="64"/>
      <c r="E368" s="212" t="s">
        <v>414</v>
      </c>
      <c r="F368" s="64" t="s">
        <v>44</v>
      </c>
      <c r="G368" s="21">
        <f t="shared" si="32"/>
        <v>560</v>
      </c>
      <c r="H368" s="21">
        <v>560</v>
      </c>
      <c r="I368" s="21"/>
      <c r="J368" s="146">
        <v>137.23320158102769</v>
      </c>
      <c r="K368" s="146">
        <v>272.2529644268775</v>
      </c>
      <c r="L368" s="146">
        <v>416.12648221343875</v>
      </c>
      <c r="M368" s="146">
        <f t="shared" si="31"/>
        <v>560</v>
      </c>
    </row>
    <row r="369" spans="1:17" ht="15.75" customHeight="1" x14ac:dyDescent="0.25">
      <c r="A369" s="64"/>
      <c r="B369" s="64"/>
      <c r="C369" s="64"/>
      <c r="D369" s="64"/>
      <c r="E369" s="71" t="s">
        <v>575</v>
      </c>
      <c r="F369" s="64">
        <v>4264</v>
      </c>
      <c r="G369" s="21">
        <f t="shared" si="32"/>
        <v>93627.25</v>
      </c>
      <c r="H369" s="21">
        <v>93627.25</v>
      </c>
      <c r="I369" s="21"/>
      <c r="J369" s="146">
        <v>34457.289525691696</v>
      </c>
      <c r="K369" s="146">
        <v>49951.36067193676</v>
      </c>
      <c r="L369" s="146">
        <v>71789.305335968384</v>
      </c>
      <c r="M369" s="146">
        <f t="shared" si="31"/>
        <v>93627.25</v>
      </c>
    </row>
    <row r="370" spans="1:17" x14ac:dyDescent="0.25">
      <c r="A370" s="64"/>
      <c r="B370" s="64"/>
      <c r="C370" s="64"/>
      <c r="D370" s="64"/>
      <c r="E370" s="71" t="s">
        <v>592</v>
      </c>
      <c r="F370" s="64" t="s">
        <v>51</v>
      </c>
      <c r="G370" s="21">
        <f t="shared" si="32"/>
        <v>8972</v>
      </c>
      <c r="H370" s="21">
        <v>8972</v>
      </c>
      <c r="I370" s="21"/>
      <c r="J370" s="146">
        <v>4000</v>
      </c>
      <c r="K370" s="146">
        <v>4458.1660079052672</v>
      </c>
      <c r="L370" s="146">
        <v>6916.664031620553</v>
      </c>
      <c r="M370" s="146">
        <f t="shared" si="31"/>
        <v>8972</v>
      </c>
      <c r="O370" s="154"/>
      <c r="P370" s="154"/>
      <c r="Q370" s="154"/>
    </row>
    <row r="371" spans="1:17" x14ac:dyDescent="0.25">
      <c r="A371" s="64"/>
      <c r="B371" s="64"/>
      <c r="C371" s="64"/>
      <c r="D371" s="64"/>
      <c r="E371" s="71" t="s">
        <v>175</v>
      </c>
      <c r="F371" s="64">
        <v>5122</v>
      </c>
      <c r="G371" s="21">
        <f t="shared" si="32"/>
        <v>1000</v>
      </c>
      <c r="H371" s="21"/>
      <c r="I371" s="21">
        <v>1000</v>
      </c>
      <c r="J371" s="146">
        <v>245.05928853754941</v>
      </c>
      <c r="K371" s="146">
        <v>486.16600790513831</v>
      </c>
      <c r="L371" s="146">
        <v>743.08300395256913</v>
      </c>
      <c r="M371" s="146">
        <f t="shared" si="31"/>
        <v>1000</v>
      </c>
      <c r="O371" s="154"/>
      <c r="P371" s="154"/>
    </row>
    <row r="372" spans="1:17" x14ac:dyDescent="0.25">
      <c r="A372" s="64"/>
      <c r="B372" s="64"/>
      <c r="C372" s="64"/>
      <c r="D372" s="64"/>
      <c r="E372" s="71" t="s">
        <v>550</v>
      </c>
      <c r="F372" s="64">
        <v>5129</v>
      </c>
      <c r="G372" s="21">
        <f t="shared" si="32"/>
        <v>1000</v>
      </c>
      <c r="H372" s="21"/>
      <c r="I372" s="21">
        <v>1000</v>
      </c>
      <c r="J372" s="146">
        <v>245.05928853754941</v>
      </c>
      <c r="K372" s="146">
        <v>486.16600790513831</v>
      </c>
      <c r="L372" s="146">
        <v>743.08300395256913</v>
      </c>
      <c r="M372" s="146">
        <f t="shared" si="31"/>
        <v>1000</v>
      </c>
    </row>
    <row r="373" spans="1:17" x14ac:dyDescent="0.25">
      <c r="A373" s="64">
        <v>2520</v>
      </c>
      <c r="B373" s="64" t="s">
        <v>10</v>
      </c>
      <c r="C373" s="64">
        <v>2</v>
      </c>
      <c r="D373" s="64">
        <v>0</v>
      </c>
      <c r="E373" s="71" t="s">
        <v>278</v>
      </c>
      <c r="F373" s="64"/>
      <c r="G373" s="21"/>
      <c r="H373" s="21"/>
      <c r="I373" s="21"/>
      <c r="J373" s="21"/>
      <c r="K373" s="21"/>
      <c r="L373" s="21"/>
      <c r="M373" s="21"/>
    </row>
    <row r="374" spans="1:17" ht="56.25" customHeight="1" x14ac:dyDescent="0.25">
      <c r="A374" s="64"/>
      <c r="B374" s="64"/>
      <c r="C374" s="64"/>
      <c r="D374" s="64"/>
      <c r="E374" s="71" t="s">
        <v>156</v>
      </c>
      <c r="F374" s="64"/>
      <c r="G374" s="21"/>
      <c r="H374" s="21"/>
      <c r="I374" s="21"/>
      <c r="J374" s="21"/>
      <c r="K374" s="21"/>
      <c r="L374" s="21"/>
      <c r="M374" s="21"/>
    </row>
    <row r="375" spans="1:17" x14ac:dyDescent="0.25">
      <c r="A375" s="64">
        <v>2521</v>
      </c>
      <c r="B375" s="64" t="s">
        <v>10</v>
      </c>
      <c r="C375" s="64">
        <v>2</v>
      </c>
      <c r="D375" s="64">
        <v>1</v>
      </c>
      <c r="E375" s="71" t="s">
        <v>279</v>
      </c>
      <c r="F375" s="64"/>
      <c r="G375" s="21"/>
      <c r="H375" s="21"/>
      <c r="I375" s="21"/>
      <c r="J375" s="21"/>
      <c r="K375" s="21"/>
      <c r="L375" s="21"/>
      <c r="M375" s="21"/>
    </row>
    <row r="376" spans="1:17" ht="40.5" x14ac:dyDescent="0.25">
      <c r="A376" s="64"/>
      <c r="B376" s="64"/>
      <c r="C376" s="64"/>
      <c r="D376" s="64"/>
      <c r="E376" s="71" t="s">
        <v>177</v>
      </c>
      <c r="F376" s="64"/>
      <c r="G376" s="21"/>
      <c r="H376" s="21"/>
      <c r="I376" s="21"/>
      <c r="J376" s="21"/>
      <c r="K376" s="21"/>
      <c r="L376" s="21"/>
      <c r="M376" s="21"/>
    </row>
    <row r="377" spans="1:17" ht="22.5" customHeight="1" x14ac:dyDescent="0.25">
      <c r="A377" s="64"/>
      <c r="B377" s="64"/>
      <c r="C377" s="64"/>
      <c r="D377" s="64"/>
      <c r="E377" s="71" t="s">
        <v>178</v>
      </c>
      <c r="F377" s="64"/>
      <c r="G377" s="21"/>
      <c r="H377" s="21"/>
      <c r="I377" s="21"/>
      <c r="J377" s="21"/>
      <c r="K377" s="21"/>
      <c r="L377" s="21"/>
      <c r="M377" s="21"/>
    </row>
    <row r="378" spans="1:17" x14ac:dyDescent="0.25">
      <c r="A378" s="64"/>
      <c r="B378" s="64"/>
      <c r="C378" s="64"/>
      <c r="D378" s="64"/>
      <c r="E378" s="71" t="s">
        <v>178</v>
      </c>
      <c r="F378" s="64"/>
      <c r="G378" s="21"/>
      <c r="H378" s="21"/>
      <c r="I378" s="21"/>
      <c r="J378" s="21"/>
      <c r="K378" s="21"/>
      <c r="L378" s="21"/>
      <c r="M378" s="21"/>
    </row>
    <row r="379" spans="1:17" ht="21.75" customHeight="1" x14ac:dyDescent="0.25">
      <c r="A379" s="64">
        <v>2530</v>
      </c>
      <c r="B379" s="64" t="s">
        <v>10</v>
      </c>
      <c r="C379" s="64">
        <v>3</v>
      </c>
      <c r="D379" s="64">
        <v>0</v>
      </c>
      <c r="E379" s="71" t="s">
        <v>280</v>
      </c>
      <c r="F379" s="64"/>
      <c r="G379" s="21"/>
      <c r="H379" s="21"/>
      <c r="I379" s="21"/>
      <c r="J379" s="21"/>
      <c r="K379" s="21"/>
      <c r="L379" s="21"/>
      <c r="M379" s="21"/>
    </row>
    <row r="380" spans="1:17" ht="54.75" customHeight="1" x14ac:dyDescent="0.25">
      <c r="A380" s="64"/>
      <c r="B380" s="64"/>
      <c r="C380" s="64"/>
      <c r="D380" s="64"/>
      <c r="E380" s="71" t="s">
        <v>156</v>
      </c>
      <c r="F380" s="64"/>
      <c r="G380" s="21"/>
      <c r="H380" s="21"/>
      <c r="I380" s="21"/>
      <c r="J380" s="21"/>
      <c r="K380" s="21"/>
      <c r="L380" s="21"/>
      <c r="M380" s="21"/>
    </row>
    <row r="381" spans="1:17" x14ac:dyDescent="0.25">
      <c r="A381" s="64">
        <v>2531</v>
      </c>
      <c r="B381" s="64" t="s">
        <v>10</v>
      </c>
      <c r="C381" s="64">
        <v>3</v>
      </c>
      <c r="D381" s="64">
        <v>1</v>
      </c>
      <c r="E381" s="71" t="s">
        <v>280</v>
      </c>
      <c r="F381" s="64"/>
      <c r="G381" s="21"/>
      <c r="H381" s="21"/>
      <c r="I381" s="21"/>
      <c r="J381" s="21"/>
      <c r="K381" s="21"/>
      <c r="L381" s="21"/>
      <c r="M381" s="21"/>
    </row>
    <row r="382" spans="1:17" ht="40.5" x14ac:dyDescent="0.25">
      <c r="A382" s="64"/>
      <c r="B382" s="64"/>
      <c r="C382" s="64"/>
      <c r="D382" s="64"/>
      <c r="E382" s="71" t="s">
        <v>177</v>
      </c>
      <c r="F382" s="64"/>
      <c r="G382" s="21"/>
      <c r="H382" s="21"/>
      <c r="I382" s="21"/>
      <c r="J382" s="21"/>
      <c r="K382" s="21"/>
      <c r="L382" s="21"/>
      <c r="M382" s="21"/>
    </row>
    <row r="383" spans="1:17" ht="38.25" customHeight="1" x14ac:dyDescent="0.25">
      <c r="A383" s="64"/>
      <c r="B383" s="64"/>
      <c r="C383" s="64"/>
      <c r="D383" s="64"/>
      <c r="E383" s="71" t="s">
        <v>178</v>
      </c>
      <c r="F383" s="64"/>
      <c r="G383" s="21"/>
      <c r="H383" s="21"/>
      <c r="I383" s="21"/>
      <c r="J383" s="21"/>
      <c r="K383" s="21"/>
      <c r="L383" s="21"/>
      <c r="M383" s="21"/>
    </row>
    <row r="384" spans="1:17" x14ac:dyDescent="0.25">
      <c r="A384" s="64"/>
      <c r="B384" s="64"/>
      <c r="C384" s="64"/>
      <c r="D384" s="64"/>
      <c r="E384" s="71" t="s">
        <v>178</v>
      </c>
      <c r="F384" s="64"/>
      <c r="G384" s="21"/>
      <c r="H384" s="21"/>
      <c r="I384" s="21"/>
      <c r="J384" s="21"/>
      <c r="K384" s="21"/>
      <c r="L384" s="21"/>
      <c r="M384" s="21"/>
    </row>
    <row r="385" spans="1:13" ht="38.25" customHeight="1" x14ac:dyDescent="0.25">
      <c r="A385" s="64">
        <v>2540</v>
      </c>
      <c r="B385" s="64" t="s">
        <v>10</v>
      </c>
      <c r="C385" s="64">
        <v>4</v>
      </c>
      <c r="D385" s="64">
        <v>0</v>
      </c>
      <c r="E385" s="71" t="s">
        <v>281</v>
      </c>
      <c r="F385" s="64"/>
      <c r="G385" s="21"/>
      <c r="H385" s="21"/>
      <c r="I385" s="21"/>
      <c r="J385" s="21"/>
      <c r="K385" s="21"/>
      <c r="L385" s="21"/>
      <c r="M385" s="21"/>
    </row>
    <row r="386" spans="1:13" ht="50.25" customHeight="1" x14ac:dyDescent="0.25">
      <c r="A386" s="64"/>
      <c r="B386" s="64"/>
      <c r="C386" s="64"/>
      <c r="D386" s="64"/>
      <c r="E386" s="71" t="s">
        <v>156</v>
      </c>
      <c r="F386" s="64"/>
      <c r="G386" s="21"/>
      <c r="H386" s="21"/>
      <c r="I386" s="21"/>
      <c r="J386" s="21"/>
      <c r="K386" s="21"/>
      <c r="L386" s="21"/>
      <c r="M386" s="21"/>
    </row>
    <row r="387" spans="1:13" ht="27" x14ac:dyDescent="0.25">
      <c r="A387" s="64">
        <v>2541</v>
      </c>
      <c r="B387" s="64" t="s">
        <v>10</v>
      </c>
      <c r="C387" s="64">
        <v>4</v>
      </c>
      <c r="D387" s="64">
        <v>1</v>
      </c>
      <c r="E387" s="71" t="s">
        <v>281</v>
      </c>
      <c r="F387" s="64"/>
      <c r="G387" s="21"/>
      <c r="H387" s="21"/>
      <c r="I387" s="21"/>
      <c r="J387" s="21"/>
      <c r="K387" s="21"/>
      <c r="L387" s="21"/>
      <c r="M387" s="21"/>
    </row>
    <row r="388" spans="1:13" ht="40.5" x14ac:dyDescent="0.25">
      <c r="A388" s="64"/>
      <c r="B388" s="64"/>
      <c r="C388" s="64"/>
      <c r="D388" s="64"/>
      <c r="E388" s="71" t="s">
        <v>177</v>
      </c>
      <c r="F388" s="64"/>
      <c r="G388" s="21"/>
      <c r="H388" s="21"/>
      <c r="I388" s="21"/>
      <c r="J388" s="21"/>
      <c r="K388" s="21"/>
      <c r="L388" s="21"/>
      <c r="M388" s="21"/>
    </row>
    <row r="389" spans="1:13" ht="51" customHeight="1" x14ac:dyDescent="0.25">
      <c r="A389" s="64"/>
      <c r="B389" s="64"/>
      <c r="C389" s="64"/>
      <c r="D389" s="64"/>
      <c r="E389" s="71" t="s">
        <v>178</v>
      </c>
      <c r="F389" s="64"/>
      <c r="G389" s="21"/>
      <c r="H389" s="21"/>
      <c r="I389" s="21"/>
      <c r="J389" s="21"/>
      <c r="K389" s="21"/>
      <c r="L389" s="21"/>
      <c r="M389" s="21"/>
    </row>
    <row r="390" spans="1:13" x14ac:dyDescent="0.25">
      <c r="A390" s="64"/>
      <c r="B390" s="64"/>
      <c r="C390" s="64"/>
      <c r="D390" s="64"/>
      <c r="E390" s="71" t="s">
        <v>178</v>
      </c>
      <c r="F390" s="64"/>
      <c r="G390" s="21"/>
      <c r="H390" s="21"/>
      <c r="I390" s="21"/>
      <c r="J390" s="21"/>
      <c r="K390" s="21"/>
      <c r="L390" s="21"/>
      <c r="M390" s="21"/>
    </row>
    <row r="391" spans="1:13" ht="27" x14ac:dyDescent="0.25">
      <c r="A391" s="64">
        <v>2550</v>
      </c>
      <c r="B391" s="64" t="s">
        <v>10</v>
      </c>
      <c r="C391" s="64">
        <v>5</v>
      </c>
      <c r="D391" s="64">
        <v>0</v>
      </c>
      <c r="E391" s="71" t="s">
        <v>282</v>
      </c>
      <c r="F391" s="64"/>
      <c r="G391" s="21"/>
      <c r="H391" s="21"/>
      <c r="I391" s="21"/>
      <c r="J391" s="21"/>
      <c r="K391" s="21"/>
      <c r="L391" s="21"/>
      <c r="M391" s="21"/>
    </row>
    <row r="392" spans="1:13" ht="56.25" customHeight="1" x14ac:dyDescent="0.25">
      <c r="A392" s="64"/>
      <c r="B392" s="64"/>
      <c r="C392" s="64"/>
      <c r="D392" s="64"/>
      <c r="E392" s="71" t="s">
        <v>156</v>
      </c>
      <c r="F392" s="64"/>
      <c r="G392" s="21"/>
      <c r="H392" s="21"/>
      <c r="I392" s="21"/>
      <c r="J392" s="21"/>
      <c r="K392" s="21"/>
      <c r="L392" s="21"/>
      <c r="M392" s="21"/>
    </row>
    <row r="393" spans="1:13" ht="27" x14ac:dyDescent="0.25">
      <c r="A393" s="64">
        <v>2551</v>
      </c>
      <c r="B393" s="64" t="s">
        <v>10</v>
      </c>
      <c r="C393" s="64">
        <v>5</v>
      </c>
      <c r="D393" s="64">
        <v>1</v>
      </c>
      <c r="E393" s="71" t="s">
        <v>282</v>
      </c>
      <c r="F393" s="64"/>
      <c r="G393" s="21"/>
      <c r="H393" s="21"/>
      <c r="I393" s="21"/>
      <c r="J393" s="21"/>
      <c r="K393" s="21"/>
      <c r="L393" s="21"/>
      <c r="M393" s="21"/>
    </row>
    <row r="394" spans="1:13" ht="40.5" x14ac:dyDescent="0.25">
      <c r="A394" s="64"/>
      <c r="B394" s="64"/>
      <c r="C394" s="64"/>
      <c r="D394" s="64"/>
      <c r="E394" s="71" t="s">
        <v>177</v>
      </c>
      <c r="F394" s="64"/>
      <c r="G394" s="21"/>
      <c r="H394" s="21"/>
      <c r="I394" s="21"/>
      <c r="J394" s="21"/>
      <c r="K394" s="21"/>
      <c r="L394" s="21"/>
      <c r="M394" s="21"/>
    </row>
    <row r="395" spans="1:13" ht="36.75" customHeight="1" x14ac:dyDescent="0.25">
      <c r="A395" s="64"/>
      <c r="B395" s="64"/>
      <c r="C395" s="64"/>
      <c r="D395" s="64"/>
      <c r="E395" s="71" t="s">
        <v>178</v>
      </c>
      <c r="F395" s="64"/>
      <c r="G395" s="21"/>
      <c r="H395" s="21"/>
      <c r="I395" s="21"/>
      <c r="J395" s="21"/>
      <c r="K395" s="21"/>
      <c r="L395" s="21"/>
      <c r="M395" s="21"/>
    </row>
    <row r="396" spans="1:13" x14ac:dyDescent="0.25">
      <c r="A396" s="64"/>
      <c r="B396" s="64"/>
      <c r="C396" s="64"/>
      <c r="D396" s="64"/>
      <c r="E396" s="71" t="s">
        <v>178</v>
      </c>
      <c r="F396" s="64"/>
      <c r="G396" s="21"/>
      <c r="H396" s="21"/>
      <c r="I396" s="21"/>
      <c r="J396" s="21"/>
      <c r="K396" s="21"/>
      <c r="L396" s="21"/>
      <c r="M396" s="21"/>
    </row>
    <row r="397" spans="1:13" ht="42.75" customHeight="1" x14ac:dyDescent="0.25">
      <c r="A397" s="64">
        <v>2560</v>
      </c>
      <c r="B397" s="64" t="s">
        <v>10</v>
      </c>
      <c r="C397" s="64">
        <v>6</v>
      </c>
      <c r="D397" s="64">
        <v>0</v>
      </c>
      <c r="E397" s="71" t="s">
        <v>283</v>
      </c>
      <c r="F397" s="64"/>
      <c r="G397" s="21">
        <f t="shared" ref="G397:M397" si="33">G399</f>
        <v>336494.72700000001</v>
      </c>
      <c r="H397" s="21">
        <f t="shared" si="33"/>
        <v>192949</v>
      </c>
      <c r="I397" s="21">
        <f t="shared" si="33"/>
        <v>143545.72700000001</v>
      </c>
      <c r="J397" s="21">
        <f t="shared" si="33"/>
        <v>100818.42637944658</v>
      </c>
      <c r="K397" s="21">
        <f t="shared" si="33"/>
        <v>173318.91470750989</v>
      </c>
      <c r="L397" s="21">
        <f t="shared" si="33"/>
        <v>252997.23587351784</v>
      </c>
      <c r="M397" s="21">
        <f t="shared" si="33"/>
        <v>336494.72700000001</v>
      </c>
    </row>
    <row r="398" spans="1:13" ht="53.25" customHeight="1" x14ac:dyDescent="0.25">
      <c r="A398" s="64"/>
      <c r="B398" s="64"/>
      <c r="C398" s="64"/>
      <c r="D398" s="64"/>
      <c r="E398" s="71" t="s">
        <v>156</v>
      </c>
      <c r="F398" s="64"/>
      <c r="G398" s="21"/>
      <c r="H398" s="21"/>
      <c r="I398" s="21"/>
      <c r="J398" s="21"/>
      <c r="K398" s="21"/>
      <c r="L398" s="21"/>
      <c r="M398" s="21"/>
    </row>
    <row r="399" spans="1:13" ht="26.25" customHeight="1" x14ac:dyDescent="0.25">
      <c r="A399" s="64">
        <v>2561</v>
      </c>
      <c r="B399" s="64" t="s">
        <v>10</v>
      </c>
      <c r="C399" s="64">
        <v>6</v>
      </c>
      <c r="D399" s="64">
        <v>1</v>
      </c>
      <c r="E399" s="71" t="s">
        <v>283</v>
      </c>
      <c r="F399" s="64"/>
      <c r="G399" s="21">
        <f>SUM(G401:G409)</f>
        <v>336494.72700000001</v>
      </c>
      <c r="H399" s="21">
        <f t="shared" ref="H399:M399" si="34">SUM(H401:H409)</f>
        <v>192949</v>
      </c>
      <c r="I399" s="21">
        <f t="shared" si="34"/>
        <v>143545.72700000001</v>
      </c>
      <c r="J399" s="21">
        <f t="shared" si="34"/>
        <v>100818.42637944658</v>
      </c>
      <c r="K399" s="21">
        <f t="shared" si="34"/>
        <v>173318.91470750989</v>
      </c>
      <c r="L399" s="21">
        <f t="shared" si="34"/>
        <v>252997.23587351784</v>
      </c>
      <c r="M399" s="21">
        <f t="shared" si="34"/>
        <v>336494.72700000001</v>
      </c>
    </row>
    <row r="400" spans="1:13" ht="16.5" customHeight="1" x14ac:dyDescent="0.25">
      <c r="A400" s="64"/>
      <c r="B400" s="64"/>
      <c r="C400" s="64"/>
      <c r="D400" s="64"/>
      <c r="E400" s="71" t="s">
        <v>177</v>
      </c>
      <c r="F400" s="64"/>
      <c r="G400" s="21"/>
      <c r="H400" s="21"/>
      <c r="I400" s="21"/>
      <c r="J400" s="21"/>
      <c r="K400" s="21"/>
      <c r="L400" s="21"/>
      <c r="M400" s="21"/>
    </row>
    <row r="401" spans="1:13" ht="27" x14ac:dyDescent="0.25">
      <c r="A401" s="64"/>
      <c r="B401" s="64"/>
      <c r="C401" s="64"/>
      <c r="D401" s="64"/>
      <c r="E401" s="71" t="s">
        <v>158</v>
      </c>
      <c r="F401" s="64" t="s">
        <v>20</v>
      </c>
      <c r="G401" s="21">
        <f t="shared" ref="G401:G408" si="35">SUM(H401:I401)</f>
        <v>105952.2</v>
      </c>
      <c r="H401" s="21">
        <v>105952.2</v>
      </c>
      <c r="I401" s="21"/>
      <c r="J401" s="146">
        <v>23964.570750988099</v>
      </c>
      <c r="K401" s="146">
        <v>51510.358102766797</v>
      </c>
      <c r="L401" s="146">
        <v>78731.279051383404</v>
      </c>
      <c r="M401" s="146">
        <f t="shared" ref="M401:M409" si="36">+G401</f>
        <v>105952.2</v>
      </c>
    </row>
    <row r="402" spans="1:13" ht="21" customHeight="1" x14ac:dyDescent="0.25">
      <c r="A402" s="64"/>
      <c r="B402" s="64"/>
      <c r="C402" s="64"/>
      <c r="D402" s="64"/>
      <c r="E402" s="71" t="s">
        <v>551</v>
      </c>
      <c r="F402" s="64">
        <v>4213</v>
      </c>
      <c r="G402" s="21">
        <f t="shared" si="35"/>
        <v>56634.8</v>
      </c>
      <c r="H402" s="21">
        <v>56634.8</v>
      </c>
      <c r="I402" s="21"/>
      <c r="J402" s="146">
        <v>22113.060869565201</v>
      </c>
      <c r="K402" s="146">
        <v>28373.930434782607</v>
      </c>
      <c r="L402" s="146">
        <v>42504.365217391307</v>
      </c>
      <c r="M402" s="146">
        <f t="shared" si="36"/>
        <v>56634.8</v>
      </c>
    </row>
    <row r="403" spans="1:13" x14ac:dyDescent="0.25">
      <c r="A403" s="64"/>
      <c r="B403" s="64"/>
      <c r="C403" s="64"/>
      <c r="D403" s="64"/>
      <c r="E403" s="71" t="s">
        <v>552</v>
      </c>
      <c r="F403" s="64">
        <v>4262</v>
      </c>
      <c r="G403" s="21">
        <f t="shared" si="35"/>
        <v>3500</v>
      </c>
      <c r="H403" s="21">
        <v>3500</v>
      </c>
      <c r="I403" s="21"/>
      <c r="J403" s="146">
        <v>1701.5810276679842</v>
      </c>
      <c r="K403" s="146">
        <v>2600.790513833992</v>
      </c>
      <c r="L403" s="146">
        <v>2600.790513833992</v>
      </c>
      <c r="M403" s="146">
        <f t="shared" si="36"/>
        <v>3500</v>
      </c>
    </row>
    <row r="404" spans="1:13" ht="17.25" customHeight="1" x14ac:dyDescent="0.25">
      <c r="A404" s="64"/>
      <c r="B404" s="64"/>
      <c r="C404" s="64"/>
      <c r="D404" s="64"/>
      <c r="E404" s="71" t="s">
        <v>575</v>
      </c>
      <c r="F404" s="64" t="s">
        <v>47</v>
      </c>
      <c r="G404" s="21">
        <f t="shared" si="35"/>
        <v>12862</v>
      </c>
      <c r="H404" s="21">
        <v>12862</v>
      </c>
      <c r="I404" s="21"/>
      <c r="J404" s="146">
        <v>5862</v>
      </c>
      <c r="K404" s="146">
        <v>7209.826086956522</v>
      </c>
      <c r="L404" s="146">
        <v>10035.91304347826</v>
      </c>
      <c r="M404" s="146">
        <f t="shared" si="36"/>
        <v>12862</v>
      </c>
    </row>
    <row r="405" spans="1:13" x14ac:dyDescent="0.25">
      <c r="A405" s="64"/>
      <c r="B405" s="64"/>
      <c r="C405" s="64"/>
      <c r="D405" s="64"/>
      <c r="E405" s="71" t="s">
        <v>592</v>
      </c>
      <c r="F405" s="64">
        <v>4269</v>
      </c>
      <c r="G405" s="21">
        <f t="shared" si="35"/>
        <v>6000</v>
      </c>
      <c r="H405" s="21">
        <v>6000</v>
      </c>
      <c r="I405" s="21"/>
      <c r="J405" s="146">
        <v>4000</v>
      </c>
      <c r="K405" s="146">
        <v>4000</v>
      </c>
      <c r="L405" s="146">
        <v>4458.498023715415</v>
      </c>
      <c r="M405" s="146">
        <f t="shared" si="36"/>
        <v>6000</v>
      </c>
    </row>
    <row r="406" spans="1:13" ht="27" x14ac:dyDescent="0.25">
      <c r="A406" s="64"/>
      <c r="B406" s="64"/>
      <c r="C406" s="64"/>
      <c r="D406" s="64"/>
      <c r="E406" s="71" t="s">
        <v>583</v>
      </c>
      <c r="F406" s="64" t="s">
        <v>92</v>
      </c>
      <c r="G406" s="21">
        <f t="shared" si="35"/>
        <v>131295.72700000001</v>
      </c>
      <c r="H406" s="21"/>
      <c r="I406" s="21">
        <f>89995.727+11300+30000</f>
        <v>131295.72700000001</v>
      </c>
      <c r="J406" s="146">
        <v>32175.23744664032</v>
      </c>
      <c r="K406" s="146">
        <v>63831.519450592896</v>
      </c>
      <c r="L406" s="146">
        <v>97563.623225296455</v>
      </c>
      <c r="M406" s="146">
        <f t="shared" si="36"/>
        <v>131295.72700000001</v>
      </c>
    </row>
    <row r="407" spans="1:13" x14ac:dyDescent="0.25">
      <c r="A407" s="64"/>
      <c r="B407" s="64"/>
      <c r="C407" s="64"/>
      <c r="D407" s="64"/>
      <c r="E407" s="71" t="s">
        <v>593</v>
      </c>
      <c r="F407" s="64">
        <v>5131</v>
      </c>
      <c r="G407" s="21">
        <f t="shared" si="35"/>
        <v>7150</v>
      </c>
      <c r="H407" s="21"/>
      <c r="I407" s="21">
        <v>7150</v>
      </c>
      <c r="J407" s="146">
        <v>1752.1739130434783</v>
      </c>
      <c r="K407" s="146">
        <v>5313.0434782608691</v>
      </c>
      <c r="L407" s="146">
        <v>5313.0434782608691</v>
      </c>
      <c r="M407" s="146">
        <f t="shared" si="36"/>
        <v>7150</v>
      </c>
    </row>
    <row r="408" spans="1:13" x14ac:dyDescent="0.25">
      <c r="A408" s="64"/>
      <c r="B408" s="64"/>
      <c r="C408" s="64"/>
      <c r="D408" s="64"/>
      <c r="E408" s="71" t="s">
        <v>756</v>
      </c>
      <c r="F408" s="64" t="s">
        <v>99</v>
      </c>
      <c r="G408" s="21">
        <f t="shared" si="35"/>
        <v>5100</v>
      </c>
      <c r="H408" s="21"/>
      <c r="I408" s="21">
        <f>3600+1500</f>
        <v>5100</v>
      </c>
      <c r="J408" s="146">
        <v>1249.802371541502</v>
      </c>
      <c r="K408" s="146">
        <v>2479.4466403162055</v>
      </c>
      <c r="L408" s="146">
        <v>3789.7233201581025</v>
      </c>
      <c r="M408" s="146">
        <f t="shared" si="36"/>
        <v>5100</v>
      </c>
    </row>
    <row r="409" spans="1:13" x14ac:dyDescent="0.25">
      <c r="A409" s="64"/>
      <c r="B409" s="64"/>
      <c r="C409" s="64"/>
      <c r="D409" s="64"/>
      <c r="E409" s="71" t="s">
        <v>548</v>
      </c>
      <c r="F409" s="64" t="s">
        <v>40</v>
      </c>
      <c r="G409" s="21">
        <f t="shared" ref="G409" si="37">SUM(H409:I409)</f>
        <v>8000</v>
      </c>
      <c r="H409" s="21">
        <v>8000</v>
      </c>
      <c r="I409" s="21"/>
      <c r="J409" s="146">
        <v>8000</v>
      </c>
      <c r="K409" s="146">
        <v>8000</v>
      </c>
      <c r="L409" s="146">
        <v>8000</v>
      </c>
      <c r="M409" s="146">
        <f t="shared" si="36"/>
        <v>8000</v>
      </c>
    </row>
    <row r="410" spans="1:13" ht="54" x14ac:dyDescent="0.25">
      <c r="A410" s="64">
        <v>2600</v>
      </c>
      <c r="B410" s="64" t="s">
        <v>11</v>
      </c>
      <c r="C410" s="64">
        <v>0</v>
      </c>
      <c r="D410" s="64">
        <v>0</v>
      </c>
      <c r="E410" s="71" t="s">
        <v>284</v>
      </c>
      <c r="F410" s="64"/>
      <c r="G410" s="21">
        <f t="shared" ref="G410:M410" si="38">G412+G418+G424+G430+G441+G446</f>
        <v>1440195.5160999999</v>
      </c>
      <c r="H410" s="21">
        <f t="shared" si="38"/>
        <v>481854.99700000021</v>
      </c>
      <c r="I410" s="21">
        <f t="shared" si="38"/>
        <v>958340.51909999945</v>
      </c>
      <c r="J410" s="21">
        <f t="shared" si="38"/>
        <v>377854.0329853748</v>
      </c>
      <c r="K410" s="21">
        <f t="shared" si="38"/>
        <v>548313.45794980158</v>
      </c>
      <c r="L410" s="21">
        <f t="shared" si="38"/>
        <v>1198288.449024901</v>
      </c>
      <c r="M410" s="21">
        <f t="shared" si="38"/>
        <v>1440195.5160999999</v>
      </c>
    </row>
    <row r="411" spans="1:13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</row>
    <row r="412" spans="1:13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285</v>
      </c>
      <c r="F412" s="64"/>
      <c r="G412" s="21"/>
      <c r="H412" s="21"/>
      <c r="I412" s="21"/>
      <c r="J412" s="21"/>
      <c r="K412" s="21"/>
      <c r="L412" s="21"/>
      <c r="M412" s="21"/>
    </row>
    <row r="413" spans="1:13" ht="57" customHeight="1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286</v>
      </c>
      <c r="F414" s="64"/>
      <c r="G414" s="21"/>
      <c r="H414" s="21"/>
      <c r="I414" s="21"/>
      <c r="J414" s="21"/>
      <c r="K414" s="21"/>
      <c r="L414" s="21"/>
      <c r="M414" s="21"/>
    </row>
    <row r="415" spans="1:13" ht="40.5" x14ac:dyDescent="0.25">
      <c r="A415" s="64"/>
      <c r="B415" s="64"/>
      <c r="C415" s="64"/>
      <c r="D415" s="64"/>
      <c r="E415" s="71" t="s">
        <v>177</v>
      </c>
      <c r="F415" s="64"/>
      <c r="G415" s="21"/>
      <c r="H415" s="21"/>
      <c r="I415" s="21"/>
      <c r="J415" s="21"/>
      <c r="K415" s="21"/>
      <c r="L415" s="21"/>
      <c r="M415" s="21"/>
    </row>
    <row r="416" spans="1:13" x14ac:dyDescent="0.25">
      <c r="A416" s="64"/>
      <c r="B416" s="64"/>
      <c r="C416" s="64"/>
      <c r="D416" s="64"/>
      <c r="E416" s="71" t="s">
        <v>178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/>
      <c r="B417" s="64"/>
      <c r="C417" s="64"/>
      <c r="D417" s="64"/>
      <c r="E417" s="71" t="s">
        <v>178</v>
      </c>
      <c r="F417" s="64"/>
      <c r="G417" s="21"/>
      <c r="H417" s="21"/>
      <c r="I417" s="21"/>
      <c r="J417" s="21"/>
      <c r="K417" s="21"/>
      <c r="L417" s="21"/>
      <c r="M417" s="21"/>
    </row>
    <row r="418" spans="1:13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287</v>
      </c>
      <c r="F418" s="64"/>
      <c r="G418" s="21"/>
      <c r="H418" s="21"/>
      <c r="I418" s="21"/>
      <c r="J418" s="21"/>
      <c r="K418" s="21"/>
      <c r="L418" s="21"/>
      <c r="M418" s="21"/>
    </row>
    <row r="419" spans="1:13" ht="60.75" customHeight="1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</row>
    <row r="420" spans="1:13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287</v>
      </c>
      <c r="F420" s="64"/>
      <c r="G420" s="21"/>
      <c r="H420" s="21"/>
      <c r="I420" s="21"/>
      <c r="J420" s="21"/>
      <c r="K420" s="21"/>
      <c r="L420" s="21"/>
      <c r="M420" s="21"/>
    </row>
    <row r="421" spans="1:13" ht="40.5" x14ac:dyDescent="0.25">
      <c r="A421" s="64"/>
      <c r="B421" s="64"/>
      <c r="C421" s="64"/>
      <c r="D421" s="64"/>
      <c r="E421" s="71" t="s">
        <v>177</v>
      </c>
      <c r="F421" s="64"/>
      <c r="G421" s="21"/>
      <c r="H421" s="21"/>
      <c r="I421" s="21"/>
      <c r="J421" s="21"/>
      <c r="K421" s="21"/>
      <c r="L421" s="21"/>
      <c r="M421" s="21"/>
    </row>
    <row r="422" spans="1:13" x14ac:dyDescent="0.25">
      <c r="A422" s="64"/>
      <c r="B422" s="64"/>
      <c r="C422" s="64"/>
      <c r="D422" s="64"/>
      <c r="E422" s="71" t="s">
        <v>591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/>
      <c r="B423" s="64"/>
      <c r="C423" s="64"/>
      <c r="D423" s="64"/>
      <c r="E423" s="71" t="s">
        <v>178</v>
      </c>
      <c r="F423" s="64"/>
      <c r="G423" s="21"/>
      <c r="H423" s="21"/>
      <c r="I423" s="21"/>
      <c r="J423" s="21"/>
      <c r="K423" s="21"/>
      <c r="L423" s="21"/>
      <c r="M423" s="21"/>
    </row>
    <row r="424" spans="1:13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288</v>
      </c>
      <c r="F424" s="64"/>
      <c r="G424" s="21"/>
      <c r="H424" s="21"/>
      <c r="I424" s="21"/>
      <c r="J424" s="21"/>
      <c r="K424" s="21"/>
      <c r="L424" s="21"/>
      <c r="M424" s="21"/>
    </row>
    <row r="425" spans="1:13" ht="56.25" customHeight="1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</row>
    <row r="426" spans="1:13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289</v>
      </c>
      <c r="F426" s="64"/>
      <c r="G426" s="21"/>
      <c r="H426" s="21"/>
      <c r="I426" s="21"/>
      <c r="J426" s="21"/>
      <c r="K426" s="21"/>
      <c r="L426" s="21"/>
      <c r="M426" s="21"/>
    </row>
    <row r="427" spans="1:13" ht="40.5" x14ac:dyDescent="0.25">
      <c r="A427" s="64"/>
      <c r="B427" s="64"/>
      <c r="C427" s="64"/>
      <c r="D427" s="64"/>
      <c r="E427" s="71" t="s">
        <v>177</v>
      </c>
      <c r="F427" s="64"/>
      <c r="G427" s="21"/>
      <c r="H427" s="21"/>
      <c r="I427" s="21"/>
      <c r="J427" s="21"/>
      <c r="K427" s="21"/>
      <c r="L427" s="21"/>
      <c r="M427" s="21"/>
    </row>
    <row r="428" spans="1:13" x14ac:dyDescent="0.25">
      <c r="A428" s="64"/>
      <c r="B428" s="64"/>
      <c r="C428" s="64"/>
      <c r="D428" s="64"/>
      <c r="E428" s="71" t="s">
        <v>178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/>
      <c r="B429" s="64"/>
      <c r="C429" s="64"/>
      <c r="D429" s="64"/>
      <c r="E429" s="71" t="s">
        <v>178</v>
      </c>
      <c r="F429" s="64"/>
      <c r="G429" s="21"/>
      <c r="H429" s="21"/>
      <c r="I429" s="21"/>
      <c r="J429" s="21"/>
      <c r="K429" s="21"/>
      <c r="L429" s="21"/>
      <c r="M429" s="21"/>
    </row>
    <row r="430" spans="1:13" x14ac:dyDescent="0.25">
      <c r="A430" s="64">
        <v>2640</v>
      </c>
      <c r="B430" s="64" t="s">
        <v>11</v>
      </c>
      <c r="C430" s="64">
        <v>4</v>
      </c>
      <c r="D430" s="64">
        <v>0</v>
      </c>
      <c r="E430" s="71" t="s">
        <v>290</v>
      </c>
      <c r="F430" s="64"/>
      <c r="G430" s="21">
        <f t="shared" ref="G430:M430" si="39">G432</f>
        <v>242515.66700000019</v>
      </c>
      <c r="H430" s="21">
        <f t="shared" si="39"/>
        <v>200715.66700000019</v>
      </c>
      <c r="I430" s="21">
        <f t="shared" si="39"/>
        <v>41800</v>
      </c>
      <c r="J430" s="21">
        <f t="shared" si="39"/>
        <v>120563.07545849812</v>
      </c>
      <c r="K430" s="21">
        <f t="shared" si="39"/>
        <v>132811.29680237168</v>
      </c>
      <c r="L430" s="21">
        <f t="shared" si="39"/>
        <v>187663.48190118591</v>
      </c>
      <c r="M430" s="21">
        <f t="shared" si="39"/>
        <v>242515.66700000019</v>
      </c>
    </row>
    <row r="431" spans="1:13" ht="55.5" customHeight="1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</row>
    <row r="432" spans="1:13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291</v>
      </c>
      <c r="F432" s="64"/>
      <c r="G432" s="21">
        <f t="shared" ref="G432:M432" si="40">SUM(G434:G439)</f>
        <v>242515.66700000019</v>
      </c>
      <c r="H432" s="21">
        <f t="shared" si="40"/>
        <v>200715.66700000019</v>
      </c>
      <c r="I432" s="21">
        <f t="shared" si="40"/>
        <v>41800</v>
      </c>
      <c r="J432" s="21">
        <f t="shared" si="40"/>
        <v>120563.07545849812</v>
      </c>
      <c r="K432" s="21">
        <f t="shared" si="40"/>
        <v>132811.29680237168</v>
      </c>
      <c r="L432" s="21">
        <f t="shared" si="40"/>
        <v>187663.48190118591</v>
      </c>
      <c r="M432" s="21">
        <f t="shared" si="40"/>
        <v>242515.66700000019</v>
      </c>
    </row>
    <row r="433" spans="1:13" ht="40.5" x14ac:dyDescent="0.25">
      <c r="A433" s="64"/>
      <c r="B433" s="64"/>
      <c r="C433" s="64"/>
      <c r="D433" s="64"/>
      <c r="E433" s="71" t="s">
        <v>177</v>
      </c>
      <c r="F433" s="64"/>
      <c r="G433" s="21"/>
      <c r="H433" s="21"/>
      <c r="I433" s="21"/>
      <c r="J433" s="21"/>
      <c r="K433" s="21"/>
      <c r="L433" s="21"/>
      <c r="M433" s="21"/>
    </row>
    <row r="434" spans="1:13" x14ac:dyDescent="0.25">
      <c r="A434" s="64"/>
      <c r="B434" s="64"/>
      <c r="C434" s="64"/>
      <c r="D434" s="64"/>
      <c r="E434" s="71" t="s">
        <v>589</v>
      </c>
      <c r="F434" s="64">
        <v>4212</v>
      </c>
      <c r="G434" s="21">
        <f t="shared" ref="G434:G439" si="41">SUM(H434:I434)</f>
        <v>191715.66700000019</v>
      </c>
      <c r="H434" s="21">
        <v>191715.66700000019</v>
      </c>
      <c r="I434" s="21"/>
      <c r="J434" s="21">
        <v>108114.06360079063</v>
      </c>
      <c r="K434" s="21">
        <v>108114.06360079063</v>
      </c>
      <c r="L434" s="146">
        <v>149914.86530039541</v>
      </c>
      <c r="M434" s="146">
        <f t="shared" ref="M434:M439" si="42">+G434</f>
        <v>191715.66700000019</v>
      </c>
    </row>
    <row r="435" spans="1:13" x14ac:dyDescent="0.25">
      <c r="A435" s="64"/>
      <c r="B435" s="64"/>
      <c r="C435" s="64"/>
      <c r="D435" s="64"/>
      <c r="E435" s="71" t="s">
        <v>548</v>
      </c>
      <c r="F435" s="64">
        <v>4239</v>
      </c>
      <c r="G435" s="21">
        <f t="shared" si="41"/>
        <v>5000</v>
      </c>
      <c r="H435" s="21">
        <v>5000</v>
      </c>
      <c r="I435" s="21"/>
      <c r="J435" s="146">
        <f t="shared" ref="J435:J439" si="43">+G435/253*62</f>
        <v>1225.296442687747</v>
      </c>
      <c r="K435" s="146">
        <f t="shared" ref="K435:K439" si="44">+G435/253*123</f>
        <v>2430.8300395256915</v>
      </c>
      <c r="L435" s="146">
        <f t="shared" ref="L435:L439" si="45">+G435/253*188</f>
        <v>3715.415019762846</v>
      </c>
      <c r="M435" s="146">
        <f t="shared" si="42"/>
        <v>5000</v>
      </c>
    </row>
    <row r="436" spans="1:13" x14ac:dyDescent="0.25">
      <c r="A436" s="64"/>
      <c r="B436" s="64"/>
      <c r="C436" s="64"/>
      <c r="D436" s="64"/>
      <c r="E436" s="71" t="s">
        <v>169</v>
      </c>
      <c r="F436" s="64">
        <v>4269</v>
      </c>
      <c r="G436" s="21">
        <f t="shared" si="41"/>
        <v>4000</v>
      </c>
      <c r="H436" s="21">
        <v>4000</v>
      </c>
      <c r="I436" s="21"/>
      <c r="J436" s="146">
        <f t="shared" si="43"/>
        <v>980.23715415019763</v>
      </c>
      <c r="K436" s="146">
        <f t="shared" si="44"/>
        <v>1944.6640316205533</v>
      </c>
      <c r="L436" s="146">
        <f t="shared" si="45"/>
        <v>2972.3320158102765</v>
      </c>
      <c r="M436" s="146">
        <f t="shared" si="42"/>
        <v>4000</v>
      </c>
    </row>
    <row r="437" spans="1:13" x14ac:dyDescent="0.25">
      <c r="A437" s="64"/>
      <c r="B437" s="64"/>
      <c r="C437" s="64"/>
      <c r="D437" s="64"/>
      <c r="E437" s="71" t="s">
        <v>544</v>
      </c>
      <c r="F437" s="64">
        <v>4822</v>
      </c>
      <c r="G437" s="21">
        <f t="shared" si="41"/>
        <v>0</v>
      </c>
      <c r="H437" s="21"/>
      <c r="I437" s="21"/>
      <c r="J437" s="146">
        <f t="shared" si="43"/>
        <v>0</v>
      </c>
      <c r="K437" s="146">
        <f t="shared" si="44"/>
        <v>0</v>
      </c>
      <c r="L437" s="146">
        <f t="shared" si="45"/>
        <v>0</v>
      </c>
      <c r="M437" s="146">
        <f t="shared" si="42"/>
        <v>0</v>
      </c>
    </row>
    <row r="438" spans="1:13" x14ac:dyDescent="0.25">
      <c r="A438" s="64"/>
      <c r="B438" s="64"/>
      <c r="C438" s="64"/>
      <c r="D438" s="64"/>
      <c r="E438" s="71" t="s">
        <v>553</v>
      </c>
      <c r="F438" s="64">
        <v>5112</v>
      </c>
      <c r="G438" s="21">
        <f t="shared" si="41"/>
        <v>800</v>
      </c>
      <c r="H438" s="21"/>
      <c r="I438" s="21">
        <v>800</v>
      </c>
      <c r="J438" s="146">
        <f t="shared" si="43"/>
        <v>196.04743083003953</v>
      </c>
      <c r="K438" s="146">
        <f t="shared" si="44"/>
        <v>388.93280632411069</v>
      </c>
      <c r="L438" s="146">
        <f t="shared" si="45"/>
        <v>594.46640316205537</v>
      </c>
      <c r="M438" s="146">
        <f t="shared" si="42"/>
        <v>800</v>
      </c>
    </row>
    <row r="439" spans="1:13" x14ac:dyDescent="0.25">
      <c r="A439" s="64"/>
      <c r="B439" s="64"/>
      <c r="C439" s="64"/>
      <c r="D439" s="64"/>
      <c r="E439" s="71" t="s">
        <v>590</v>
      </c>
      <c r="F439" s="64">
        <v>5129</v>
      </c>
      <c r="G439" s="21">
        <f t="shared" si="41"/>
        <v>41000</v>
      </c>
      <c r="H439" s="21"/>
      <c r="I439" s="21">
        <v>41000</v>
      </c>
      <c r="J439" s="146">
        <f t="shared" si="43"/>
        <v>10047.430830039526</v>
      </c>
      <c r="K439" s="146">
        <f t="shared" si="44"/>
        <v>19932.806324110672</v>
      </c>
      <c r="L439" s="146">
        <f t="shared" si="45"/>
        <v>30466.403162055336</v>
      </c>
      <c r="M439" s="146">
        <f t="shared" si="42"/>
        <v>41000</v>
      </c>
    </row>
    <row r="440" spans="1:13" x14ac:dyDescent="0.25">
      <c r="A440" s="64"/>
      <c r="B440" s="64"/>
      <c r="C440" s="64"/>
      <c r="D440" s="64"/>
      <c r="E440" s="71" t="s">
        <v>178</v>
      </c>
      <c r="F440" s="64"/>
      <c r="G440" s="21"/>
      <c r="H440" s="21"/>
      <c r="I440" s="21"/>
      <c r="J440" s="21"/>
      <c r="K440" s="21"/>
      <c r="L440" s="21"/>
      <c r="M440" s="21"/>
    </row>
    <row r="441" spans="1:13" ht="60" customHeight="1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292</v>
      </c>
      <c r="F441" s="64"/>
      <c r="G441" s="21"/>
      <c r="H441" s="21"/>
      <c r="I441" s="21"/>
      <c r="J441" s="21"/>
      <c r="K441" s="21"/>
      <c r="L441" s="21"/>
      <c r="M441" s="21"/>
    </row>
    <row r="442" spans="1:13" ht="54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</row>
    <row r="443" spans="1:13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292</v>
      </c>
      <c r="F443" s="64"/>
      <c r="G443" s="21"/>
      <c r="H443" s="21"/>
      <c r="I443" s="21"/>
      <c r="J443" s="21"/>
      <c r="K443" s="21"/>
      <c r="L443" s="21"/>
      <c r="M443" s="21"/>
    </row>
    <row r="444" spans="1:13" ht="37.5" customHeight="1" x14ac:dyDescent="0.25">
      <c r="A444" s="64"/>
      <c r="B444" s="64"/>
      <c r="C444" s="64"/>
      <c r="D444" s="64"/>
      <c r="E444" s="71" t="s">
        <v>177</v>
      </c>
      <c r="F444" s="64"/>
      <c r="G444" s="21"/>
      <c r="H444" s="21"/>
      <c r="I444" s="21"/>
      <c r="J444" s="21"/>
      <c r="K444" s="21"/>
      <c r="L444" s="21"/>
      <c r="M444" s="21"/>
    </row>
    <row r="445" spans="1:13" x14ac:dyDescent="0.25">
      <c r="A445" s="64"/>
      <c r="B445" s="64"/>
      <c r="C445" s="64"/>
      <c r="D445" s="64"/>
      <c r="E445" s="71" t="s">
        <v>178</v>
      </c>
      <c r="F445" s="64"/>
      <c r="G445" s="21"/>
      <c r="H445" s="21"/>
      <c r="I445" s="21"/>
      <c r="J445" s="21"/>
      <c r="K445" s="21"/>
      <c r="L445" s="21"/>
      <c r="M445" s="21"/>
    </row>
    <row r="446" spans="1:13" ht="36" customHeight="1" x14ac:dyDescent="0.25">
      <c r="A446" s="64">
        <v>2660</v>
      </c>
      <c r="B446" s="64" t="s">
        <v>11</v>
      </c>
      <c r="C446" s="64">
        <v>6</v>
      </c>
      <c r="D446" s="64">
        <v>0</v>
      </c>
      <c r="E446" s="71" t="s">
        <v>293</v>
      </c>
      <c r="F446" s="64"/>
      <c r="G446" s="21">
        <f>+G448</f>
        <v>1197679.8490999998</v>
      </c>
      <c r="H446" s="21">
        <f t="shared" ref="H446:M446" si="46">H448</f>
        <v>281139.33</v>
      </c>
      <c r="I446" s="21">
        <f t="shared" si="46"/>
        <v>916540.51909999945</v>
      </c>
      <c r="J446" s="21">
        <f t="shared" si="46"/>
        <v>257290.95752687668</v>
      </c>
      <c r="K446" s="21">
        <f t="shared" si="46"/>
        <v>415502.1611474299</v>
      </c>
      <c r="L446" s="21">
        <f t="shared" si="46"/>
        <v>1010624.9671237151</v>
      </c>
      <c r="M446" s="21">
        <f t="shared" si="46"/>
        <v>1197679.8490999998</v>
      </c>
    </row>
    <row r="447" spans="1:13" ht="55.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</row>
    <row r="448" spans="1:13" ht="39.75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293</v>
      </c>
      <c r="F448" s="64"/>
      <c r="G448" s="21">
        <f>+G450+G451+G452+G453+G454+G455+G456+G457+G458+G459+G460+G461+G462+G463+G464</f>
        <v>1197679.8490999998</v>
      </c>
      <c r="H448" s="21">
        <f t="shared" ref="H448:M448" si="47">+H450+H451+H452+H453+H454+H455+H456+H457+H458+H459+H460+H461+H462+H463+H464</f>
        <v>281139.33</v>
      </c>
      <c r="I448" s="21">
        <f t="shared" si="47"/>
        <v>916540.51909999945</v>
      </c>
      <c r="J448" s="21">
        <f t="shared" si="47"/>
        <v>257290.95752687668</v>
      </c>
      <c r="K448" s="21">
        <f t="shared" si="47"/>
        <v>415502.1611474299</v>
      </c>
      <c r="L448" s="21">
        <f t="shared" si="47"/>
        <v>1010624.9671237151</v>
      </c>
      <c r="M448" s="21">
        <f t="shared" si="47"/>
        <v>1197679.8490999998</v>
      </c>
    </row>
    <row r="449" spans="1:13" ht="39.75" customHeight="1" x14ac:dyDescent="0.25">
      <c r="A449" s="64"/>
      <c r="B449" s="64"/>
      <c r="C449" s="64"/>
      <c r="D449" s="64"/>
      <c r="E449" s="71" t="s">
        <v>177</v>
      </c>
      <c r="F449" s="64"/>
      <c r="G449" s="21"/>
      <c r="H449" s="21"/>
      <c r="I449" s="21"/>
      <c r="J449" s="21"/>
      <c r="K449" s="21"/>
      <c r="L449" s="21"/>
      <c r="M449" s="21"/>
    </row>
    <row r="450" spans="1:13" ht="20.25" customHeight="1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f>SUM(H450:I450)</f>
        <v>112342.5</v>
      </c>
      <c r="H450" s="21">
        <v>112342.5</v>
      </c>
      <c r="I450" s="21"/>
      <c r="J450" s="146">
        <v>25530.5731225296</v>
      </c>
      <c r="K450" s="146">
        <v>54617.104743083</v>
      </c>
      <c r="L450" s="146">
        <v>83479.802371541504</v>
      </c>
      <c r="M450" s="146">
        <f t="shared" ref="M450:M464" si="48">+G450</f>
        <v>112342.5</v>
      </c>
    </row>
    <row r="451" spans="1:13" ht="20.25" customHeight="1" x14ac:dyDescent="0.25">
      <c r="A451" s="64"/>
      <c r="B451" s="64"/>
      <c r="C451" s="64"/>
      <c r="D451" s="64"/>
      <c r="E451" s="71" t="s">
        <v>751</v>
      </c>
      <c r="F451" s="64" t="s">
        <v>29</v>
      </c>
      <c r="G451" s="21">
        <f t="shared" ref="G451:G458" si="49">SUM(H451:I451)</f>
        <v>0</v>
      </c>
      <c r="H451" s="21"/>
      <c r="I451" s="21"/>
      <c r="J451" s="146">
        <v>0</v>
      </c>
      <c r="K451" s="146">
        <v>0</v>
      </c>
      <c r="L451" s="146">
        <v>0</v>
      </c>
      <c r="M451" s="146">
        <f t="shared" si="48"/>
        <v>0</v>
      </c>
    </row>
    <row r="452" spans="1:13" x14ac:dyDescent="0.25">
      <c r="A452" s="64"/>
      <c r="B452" s="64"/>
      <c r="C452" s="64"/>
      <c r="D452" s="64"/>
      <c r="E452" s="71" t="s">
        <v>548</v>
      </c>
      <c r="F452" s="64" t="s">
        <v>40</v>
      </c>
      <c r="G452" s="21">
        <f t="shared" si="49"/>
        <v>34113.279999999999</v>
      </c>
      <c r="H452" s="21">
        <v>34113.279999999999</v>
      </c>
      <c r="I452" s="21"/>
      <c r="J452" s="146">
        <v>16642.924268774703</v>
      </c>
      <c r="K452" s="146">
        <v>16642.924268774703</v>
      </c>
      <c r="L452" s="146">
        <v>25378.102134387351</v>
      </c>
      <c r="M452" s="146">
        <f t="shared" si="48"/>
        <v>34113.279999999999</v>
      </c>
    </row>
    <row r="453" spans="1:13" x14ac:dyDescent="0.25">
      <c r="A453" s="64"/>
      <c r="B453" s="64"/>
      <c r="C453" s="64"/>
      <c r="D453" s="64"/>
      <c r="E453" s="71" t="s">
        <v>543</v>
      </c>
      <c r="F453" s="64" t="s">
        <v>41</v>
      </c>
      <c r="G453" s="21">
        <f t="shared" si="49"/>
        <v>351</v>
      </c>
      <c r="H453" s="21">
        <v>351</v>
      </c>
      <c r="I453" s="21"/>
      <c r="J453" s="146">
        <v>86.015810276679844</v>
      </c>
      <c r="K453" s="146">
        <v>170.64426877470356</v>
      </c>
      <c r="L453" s="146">
        <v>260.82213438735175</v>
      </c>
      <c r="M453" s="146">
        <f t="shared" si="48"/>
        <v>351</v>
      </c>
    </row>
    <row r="454" spans="1:13" x14ac:dyDescent="0.25">
      <c r="A454" s="64"/>
      <c r="B454" s="64"/>
      <c r="C454" s="64"/>
      <c r="D454" s="64"/>
      <c r="E454" s="71" t="s">
        <v>554</v>
      </c>
      <c r="F454" s="64">
        <v>4251</v>
      </c>
      <c r="G454" s="21">
        <f t="shared" si="49"/>
        <v>2000</v>
      </c>
      <c r="H454" s="21">
        <v>2000</v>
      </c>
      <c r="I454" s="21"/>
      <c r="J454" s="146">
        <v>490.11857707509881</v>
      </c>
      <c r="K454" s="146">
        <v>972.33201581027663</v>
      </c>
      <c r="L454" s="146">
        <v>1486.1660079051383</v>
      </c>
      <c r="M454" s="146">
        <f t="shared" si="48"/>
        <v>2000</v>
      </c>
    </row>
    <row r="455" spans="1:13" ht="27" x14ac:dyDescent="0.25">
      <c r="A455" s="64"/>
      <c r="B455" s="64"/>
      <c r="C455" s="64"/>
      <c r="D455" s="64"/>
      <c r="E455" s="71" t="s">
        <v>412</v>
      </c>
      <c r="F455" s="64" t="s">
        <v>43</v>
      </c>
      <c r="G455" s="21">
        <f t="shared" si="49"/>
        <v>3209</v>
      </c>
      <c r="H455" s="21">
        <v>3209</v>
      </c>
      <c r="I455" s="21"/>
      <c r="J455" s="146">
        <v>1590.4229249011858</v>
      </c>
      <c r="K455" s="146">
        <v>1590.4229249011858</v>
      </c>
      <c r="L455" s="146">
        <v>2399.711462450593</v>
      </c>
      <c r="M455" s="146">
        <f t="shared" si="48"/>
        <v>3209</v>
      </c>
    </row>
    <row r="456" spans="1:13" ht="33.75" customHeight="1" x14ac:dyDescent="0.25">
      <c r="A456" s="64"/>
      <c r="B456" s="64"/>
      <c r="C456" s="64"/>
      <c r="D456" s="64"/>
      <c r="E456" s="71" t="s">
        <v>555</v>
      </c>
      <c r="F456" s="64">
        <v>4264</v>
      </c>
      <c r="G456" s="21">
        <f t="shared" si="49"/>
        <v>62387.1</v>
      </c>
      <c r="H456" s="21">
        <v>62387.1</v>
      </c>
      <c r="I456" s="21"/>
      <c r="J456" s="146">
        <v>25355.479446640304</v>
      </c>
      <c r="K456" s="146">
        <v>33098.562450592886</v>
      </c>
      <c r="L456" s="146">
        <v>47742.831225296439</v>
      </c>
      <c r="M456" s="146">
        <f t="shared" si="48"/>
        <v>62387.1</v>
      </c>
    </row>
    <row r="457" spans="1:13" x14ac:dyDescent="0.25">
      <c r="A457" s="64"/>
      <c r="B457" s="64"/>
      <c r="C457" s="64"/>
      <c r="D457" s="64"/>
      <c r="E457" s="71" t="s">
        <v>169</v>
      </c>
      <c r="F457" s="64">
        <v>4269</v>
      </c>
      <c r="G457" s="21">
        <f t="shared" si="49"/>
        <v>29360.45</v>
      </c>
      <c r="H457" s="21">
        <v>29360.45</v>
      </c>
      <c r="I457" s="21"/>
      <c r="J457" s="146">
        <v>8467.169367588931</v>
      </c>
      <c r="K457" s="146">
        <v>14459.264229249013</v>
      </c>
      <c r="L457" s="146">
        <v>21909.857114624505</v>
      </c>
      <c r="M457" s="146">
        <f t="shared" si="48"/>
        <v>29360.45</v>
      </c>
    </row>
    <row r="458" spans="1:13" ht="27" x14ac:dyDescent="0.25">
      <c r="A458" s="64"/>
      <c r="B458" s="64"/>
      <c r="C458" s="64"/>
      <c r="D458" s="64"/>
      <c r="E458" s="71" t="s">
        <v>556</v>
      </c>
      <c r="F458" s="64">
        <v>4521</v>
      </c>
      <c r="G458" s="21">
        <f t="shared" si="49"/>
        <v>37376</v>
      </c>
      <c r="H458" s="21">
        <v>37376</v>
      </c>
      <c r="I458" s="21"/>
      <c r="J458" s="146">
        <v>12462.956521739132</v>
      </c>
      <c r="K458" s="146">
        <v>20419.478260869568</v>
      </c>
      <c r="L458" s="146">
        <v>28897.739130434784</v>
      </c>
      <c r="M458" s="146">
        <f t="shared" si="48"/>
        <v>37376</v>
      </c>
    </row>
    <row r="459" spans="1:13" x14ac:dyDescent="0.25">
      <c r="A459" s="64"/>
      <c r="B459" s="64"/>
      <c r="C459" s="64"/>
      <c r="D459" s="64"/>
      <c r="E459" s="71" t="s">
        <v>581</v>
      </c>
      <c r="F459" s="64" t="s">
        <v>59</v>
      </c>
      <c r="G459" s="21">
        <v>0</v>
      </c>
      <c r="H459" s="21"/>
      <c r="I459" s="21"/>
      <c r="J459" s="21"/>
      <c r="K459" s="21"/>
      <c r="L459" s="21"/>
      <c r="M459" s="146">
        <f t="shared" si="48"/>
        <v>0</v>
      </c>
    </row>
    <row r="460" spans="1:13" ht="27" x14ac:dyDescent="0.25">
      <c r="A460" s="64"/>
      <c r="B460" s="64"/>
      <c r="C460" s="64"/>
      <c r="D460" s="64"/>
      <c r="E460" s="71" t="s">
        <v>600</v>
      </c>
      <c r="F460" s="64" t="s">
        <v>92</v>
      </c>
      <c r="G460" s="21">
        <f t="shared" ref="G460" si="50">SUM(H460:I460)</f>
        <v>688437.50509999949</v>
      </c>
      <c r="H460" s="21"/>
      <c r="I460" s="21">
        <f>6154.66+272541.822+14108.0990999995+395632.924</f>
        <v>688437.50509999949</v>
      </c>
      <c r="J460" s="146">
        <f>14108.0990999995+73874.5578814229</f>
        <v>87982.656981422391</v>
      </c>
      <c r="K460" s="146">
        <f>139288.889667984+14108.0990999995</f>
        <v>153396.98876798351</v>
      </c>
      <c r="L460" s="146">
        <f>14108.0990999995+208992.685833992+395632.924</f>
        <v>618733.7089339915</v>
      </c>
      <c r="M460" s="146">
        <f t="shared" si="48"/>
        <v>688437.50509999949</v>
      </c>
    </row>
    <row r="461" spans="1:13" x14ac:dyDescent="0.25">
      <c r="A461" s="64"/>
      <c r="B461" s="64"/>
      <c r="C461" s="64"/>
      <c r="D461" s="64"/>
      <c r="E461" s="71" t="s">
        <v>588</v>
      </c>
      <c r="F461" s="64">
        <v>5112</v>
      </c>
      <c r="G461" s="21">
        <v>0</v>
      </c>
      <c r="H461" s="21"/>
      <c r="I461" s="21"/>
      <c r="J461" s="146">
        <v>0</v>
      </c>
      <c r="K461" s="146">
        <v>0</v>
      </c>
      <c r="L461" s="146">
        <v>0</v>
      </c>
      <c r="M461" s="146">
        <f t="shared" si="48"/>
        <v>0</v>
      </c>
    </row>
    <row r="462" spans="1:13" x14ac:dyDescent="0.25">
      <c r="A462" s="64"/>
      <c r="B462" s="64"/>
      <c r="C462" s="64"/>
      <c r="D462" s="64"/>
      <c r="E462" s="71" t="s">
        <v>185</v>
      </c>
      <c r="F462" s="64">
        <v>5122</v>
      </c>
      <c r="G462" s="21">
        <v>0</v>
      </c>
      <c r="H462" s="21"/>
      <c r="I462" s="21"/>
      <c r="J462" s="146">
        <v>0</v>
      </c>
      <c r="K462" s="146">
        <v>0</v>
      </c>
      <c r="L462" s="146">
        <v>0</v>
      </c>
      <c r="M462" s="146">
        <f t="shared" si="48"/>
        <v>0</v>
      </c>
    </row>
    <row r="463" spans="1:13" x14ac:dyDescent="0.25">
      <c r="A463" s="64"/>
      <c r="B463" s="64"/>
      <c r="C463" s="64"/>
      <c r="D463" s="64"/>
      <c r="E463" s="71" t="s">
        <v>557</v>
      </c>
      <c r="F463" s="64">
        <v>5129</v>
      </c>
      <c r="G463" s="21">
        <f t="shared" ref="G463:G464" si="51">SUM(H463:I463)</f>
        <v>187232.93400000001</v>
      </c>
      <c r="H463" s="21"/>
      <c r="I463" s="21">
        <f>14379.48+172853.454</f>
        <v>187232.93400000001</v>
      </c>
      <c r="J463" s="146">
        <v>57441.236395256914</v>
      </c>
      <c r="K463" s="146">
        <v>98893.03510671937</v>
      </c>
      <c r="L463" s="146">
        <v>143062.98455335971</v>
      </c>
      <c r="M463" s="146">
        <f t="shared" si="48"/>
        <v>187232.93400000001</v>
      </c>
    </row>
    <row r="464" spans="1:13" x14ac:dyDescent="0.25">
      <c r="A464" s="64"/>
      <c r="B464" s="64"/>
      <c r="C464" s="64"/>
      <c r="D464" s="64"/>
      <c r="E464" s="71" t="s">
        <v>756</v>
      </c>
      <c r="F464" s="64" t="s">
        <v>99</v>
      </c>
      <c r="G464" s="21">
        <f t="shared" si="51"/>
        <v>40870.080000000002</v>
      </c>
      <c r="H464" s="21"/>
      <c r="I464" s="21">
        <f>813+27622.08+12435</f>
        <v>40870.080000000002</v>
      </c>
      <c r="J464" s="146">
        <v>21241.40411067172</v>
      </c>
      <c r="K464" s="146">
        <v>21241.40411067172</v>
      </c>
      <c r="L464" s="146">
        <f>24838.2420553362+12435</f>
        <v>37273.242055336203</v>
      </c>
      <c r="M464" s="146">
        <f t="shared" si="48"/>
        <v>40870.080000000002</v>
      </c>
    </row>
    <row r="465" spans="1:13" x14ac:dyDescent="0.25">
      <c r="A465" s="64"/>
      <c r="B465" s="64"/>
      <c r="C465" s="64"/>
      <c r="D465" s="64"/>
      <c r="E465" s="71"/>
      <c r="F465" s="64"/>
      <c r="G465" s="21"/>
      <c r="H465" s="21"/>
      <c r="I465" s="21"/>
      <c r="J465" s="21"/>
      <c r="K465" s="21"/>
      <c r="L465" s="21"/>
      <c r="M465" s="21"/>
    </row>
    <row r="466" spans="1:13" ht="36" customHeight="1" x14ac:dyDescent="0.25">
      <c r="A466" s="64">
        <v>2700</v>
      </c>
      <c r="B466" s="64" t="s">
        <v>12</v>
      </c>
      <c r="C466" s="64">
        <v>0</v>
      </c>
      <c r="D466" s="64">
        <v>0</v>
      </c>
      <c r="E466" s="71" t="s">
        <v>294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/>
      <c r="B467" s="64"/>
      <c r="C467" s="64"/>
      <c r="D467" s="64"/>
      <c r="E467" s="71" t="s">
        <v>154</v>
      </c>
      <c r="F467" s="64"/>
      <c r="G467" s="21"/>
      <c r="H467" s="21"/>
      <c r="I467" s="21"/>
      <c r="J467" s="21"/>
      <c r="K467" s="21"/>
      <c r="L467" s="21"/>
      <c r="M467" s="21"/>
    </row>
    <row r="468" spans="1:13" ht="27" x14ac:dyDescent="0.25">
      <c r="A468" s="64">
        <v>2710</v>
      </c>
      <c r="B468" s="64" t="s">
        <v>12</v>
      </c>
      <c r="C468" s="64">
        <v>1</v>
      </c>
      <c r="D468" s="64">
        <v>0</v>
      </c>
      <c r="E468" s="71" t="s">
        <v>295</v>
      </c>
      <c r="F468" s="64"/>
      <c r="G468" s="21"/>
      <c r="H468" s="21"/>
      <c r="I468" s="21"/>
      <c r="J468" s="21"/>
      <c r="K468" s="21"/>
      <c r="L468" s="21"/>
      <c r="M468" s="21"/>
    </row>
    <row r="469" spans="1:13" ht="51.75" customHeight="1" x14ac:dyDescent="0.25">
      <c r="A469" s="64"/>
      <c r="B469" s="64"/>
      <c r="C469" s="64"/>
      <c r="D469" s="64"/>
      <c r="E469" s="71" t="s">
        <v>156</v>
      </c>
      <c r="F469" s="64"/>
      <c r="G469" s="21"/>
      <c r="H469" s="21"/>
      <c r="I469" s="21"/>
      <c r="J469" s="21"/>
      <c r="K469" s="21"/>
      <c r="L469" s="21"/>
      <c r="M469" s="21"/>
    </row>
    <row r="470" spans="1:13" x14ac:dyDescent="0.25">
      <c r="A470" s="64">
        <v>2711</v>
      </c>
      <c r="B470" s="64" t="s">
        <v>12</v>
      </c>
      <c r="C470" s="64">
        <v>1</v>
      </c>
      <c r="D470" s="64">
        <v>1</v>
      </c>
      <c r="E470" s="71" t="s">
        <v>296</v>
      </c>
      <c r="F470" s="64"/>
      <c r="G470" s="21"/>
      <c r="H470" s="21"/>
      <c r="I470" s="21"/>
      <c r="J470" s="21"/>
      <c r="K470" s="21"/>
      <c r="L470" s="21"/>
      <c r="M470" s="21"/>
    </row>
    <row r="471" spans="1:13" ht="40.5" x14ac:dyDescent="0.25">
      <c r="A471" s="64"/>
      <c r="B471" s="64"/>
      <c r="C471" s="64"/>
      <c r="D471" s="64"/>
      <c r="E471" s="71" t="s">
        <v>177</v>
      </c>
      <c r="F471" s="64"/>
      <c r="G471" s="21"/>
      <c r="H471" s="21"/>
      <c r="I471" s="21"/>
      <c r="J471" s="21"/>
      <c r="K471" s="21"/>
      <c r="L471" s="21"/>
      <c r="M471" s="21"/>
    </row>
    <row r="472" spans="1:13" x14ac:dyDescent="0.25">
      <c r="A472" s="64"/>
      <c r="B472" s="64"/>
      <c r="C472" s="64"/>
      <c r="D472" s="64"/>
      <c r="E472" s="71" t="s">
        <v>178</v>
      </c>
      <c r="F472" s="64"/>
      <c r="G472" s="21"/>
      <c r="H472" s="21"/>
      <c r="I472" s="21"/>
      <c r="J472" s="21"/>
      <c r="K472" s="21"/>
      <c r="L472" s="21"/>
      <c r="M472" s="21"/>
    </row>
    <row r="473" spans="1:13" ht="60" customHeight="1" x14ac:dyDescent="0.25">
      <c r="A473" s="64"/>
      <c r="B473" s="64"/>
      <c r="C473" s="64"/>
      <c r="D473" s="64"/>
      <c r="E473" s="71" t="s">
        <v>178</v>
      </c>
      <c r="F473" s="64"/>
      <c r="G473" s="21"/>
      <c r="H473" s="21"/>
      <c r="I473" s="21"/>
      <c r="J473" s="21"/>
      <c r="K473" s="21"/>
      <c r="L473" s="21"/>
      <c r="M473" s="21"/>
    </row>
    <row r="474" spans="1:13" x14ac:dyDescent="0.25">
      <c r="A474" s="64">
        <v>2712</v>
      </c>
      <c r="B474" s="64" t="s">
        <v>12</v>
      </c>
      <c r="C474" s="64">
        <v>1</v>
      </c>
      <c r="D474" s="64">
        <v>2</v>
      </c>
      <c r="E474" s="71" t="s">
        <v>297</v>
      </c>
      <c r="F474" s="64"/>
      <c r="G474" s="21"/>
      <c r="H474" s="21"/>
      <c r="I474" s="21"/>
      <c r="J474" s="21"/>
      <c r="K474" s="21"/>
      <c r="L474" s="21"/>
      <c r="M474" s="21"/>
    </row>
    <row r="475" spans="1:13" ht="40.5" x14ac:dyDescent="0.25">
      <c r="A475" s="64"/>
      <c r="B475" s="64"/>
      <c r="C475" s="64"/>
      <c r="D475" s="64"/>
      <c r="E475" s="71" t="s">
        <v>177</v>
      </c>
      <c r="F475" s="64"/>
      <c r="G475" s="21"/>
      <c r="H475" s="21"/>
      <c r="I475" s="21"/>
      <c r="J475" s="21"/>
      <c r="K475" s="21"/>
      <c r="L475" s="21"/>
      <c r="M475" s="21"/>
    </row>
    <row r="476" spans="1:13" x14ac:dyDescent="0.25">
      <c r="A476" s="64"/>
      <c r="B476" s="64"/>
      <c r="C476" s="64"/>
      <c r="D476" s="64"/>
      <c r="E476" s="71" t="s">
        <v>178</v>
      </c>
      <c r="F476" s="64"/>
      <c r="G476" s="21"/>
      <c r="H476" s="21"/>
      <c r="I476" s="21"/>
      <c r="J476" s="21"/>
      <c r="K476" s="21"/>
      <c r="L476" s="21"/>
      <c r="M476" s="21"/>
    </row>
    <row r="477" spans="1:13" ht="54" customHeight="1" x14ac:dyDescent="0.25">
      <c r="A477" s="64"/>
      <c r="B477" s="64"/>
      <c r="C477" s="64"/>
      <c r="D477" s="64"/>
      <c r="E477" s="71" t="s">
        <v>178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>
        <v>2713</v>
      </c>
      <c r="B478" s="64" t="s">
        <v>12</v>
      </c>
      <c r="C478" s="64">
        <v>1</v>
      </c>
      <c r="D478" s="64">
        <v>3</v>
      </c>
      <c r="E478" s="71" t="s">
        <v>298</v>
      </c>
      <c r="F478" s="64"/>
      <c r="G478" s="21"/>
      <c r="H478" s="21"/>
      <c r="I478" s="21"/>
      <c r="J478" s="21"/>
      <c r="K478" s="21"/>
      <c r="L478" s="21"/>
      <c r="M478" s="21"/>
    </row>
    <row r="479" spans="1:13" ht="40.5" x14ac:dyDescent="0.25">
      <c r="A479" s="64"/>
      <c r="B479" s="64"/>
      <c r="C479" s="64"/>
      <c r="D479" s="64"/>
      <c r="E479" s="71" t="s">
        <v>177</v>
      </c>
      <c r="F479" s="64"/>
      <c r="G479" s="21"/>
      <c r="H479" s="21"/>
      <c r="I479" s="21"/>
      <c r="J479" s="21"/>
      <c r="K479" s="21"/>
      <c r="L479" s="21"/>
      <c r="M479" s="21"/>
    </row>
    <row r="480" spans="1:13" x14ac:dyDescent="0.25">
      <c r="A480" s="64"/>
      <c r="B480" s="64"/>
      <c r="C480" s="64"/>
      <c r="D480" s="64"/>
      <c r="E480" s="71" t="s">
        <v>178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/>
      <c r="B481" s="64"/>
      <c r="C481" s="64"/>
      <c r="D481" s="64"/>
      <c r="E481" s="71" t="s">
        <v>178</v>
      </c>
      <c r="F481" s="64"/>
      <c r="G481" s="21"/>
      <c r="H481" s="21"/>
      <c r="I481" s="21"/>
      <c r="J481" s="21"/>
      <c r="K481" s="21"/>
      <c r="L481" s="21"/>
      <c r="M481" s="21"/>
    </row>
    <row r="482" spans="1:13" ht="33.75" customHeight="1" x14ac:dyDescent="0.25">
      <c r="A482" s="64">
        <v>2720</v>
      </c>
      <c r="B482" s="64" t="s">
        <v>12</v>
      </c>
      <c r="C482" s="64">
        <v>2</v>
      </c>
      <c r="D482" s="64">
        <v>0</v>
      </c>
      <c r="E482" s="71" t="s">
        <v>299</v>
      </c>
      <c r="F482" s="64"/>
      <c r="G482" s="21"/>
      <c r="H482" s="21"/>
      <c r="I482" s="21"/>
      <c r="J482" s="21"/>
      <c r="K482" s="21"/>
      <c r="L482" s="21"/>
      <c r="M482" s="21"/>
    </row>
    <row r="483" spans="1:13" ht="53.25" customHeight="1" x14ac:dyDescent="0.25">
      <c r="A483" s="64"/>
      <c r="B483" s="64"/>
      <c r="C483" s="64"/>
      <c r="D483" s="64"/>
      <c r="E483" s="71" t="s">
        <v>156</v>
      </c>
      <c r="F483" s="64"/>
      <c r="G483" s="21"/>
      <c r="H483" s="21"/>
      <c r="I483" s="21"/>
      <c r="J483" s="21"/>
      <c r="K483" s="21"/>
      <c r="L483" s="21"/>
      <c r="M483" s="21"/>
    </row>
    <row r="484" spans="1:13" x14ac:dyDescent="0.25">
      <c r="A484" s="64">
        <v>2721</v>
      </c>
      <c r="B484" s="64" t="s">
        <v>12</v>
      </c>
      <c r="C484" s="64">
        <v>2</v>
      </c>
      <c r="D484" s="64">
        <v>1</v>
      </c>
      <c r="E484" s="71" t="s">
        <v>300</v>
      </c>
      <c r="F484" s="64"/>
      <c r="G484" s="21"/>
      <c r="H484" s="21"/>
      <c r="I484" s="21"/>
      <c r="J484" s="21"/>
      <c r="K484" s="21"/>
      <c r="L484" s="21"/>
      <c r="M484" s="21"/>
    </row>
    <row r="485" spans="1:13" ht="40.5" x14ac:dyDescent="0.25">
      <c r="A485" s="64"/>
      <c r="B485" s="64"/>
      <c r="C485" s="64"/>
      <c r="D485" s="64"/>
      <c r="E485" s="71" t="s">
        <v>177</v>
      </c>
      <c r="F485" s="64"/>
      <c r="G485" s="21"/>
      <c r="H485" s="21"/>
      <c r="I485" s="21"/>
      <c r="J485" s="21"/>
      <c r="K485" s="21"/>
      <c r="L485" s="21"/>
      <c r="M485" s="21"/>
    </row>
    <row r="486" spans="1:13" x14ac:dyDescent="0.25">
      <c r="A486" s="64"/>
      <c r="B486" s="64"/>
      <c r="C486" s="64"/>
      <c r="D486" s="64"/>
      <c r="E486" s="71" t="s">
        <v>178</v>
      </c>
      <c r="F486" s="64"/>
      <c r="G486" s="21"/>
      <c r="H486" s="21"/>
      <c r="I486" s="21"/>
      <c r="J486" s="21"/>
      <c r="K486" s="21"/>
      <c r="L486" s="21"/>
      <c r="M486" s="21"/>
    </row>
    <row r="487" spans="1:13" ht="51.75" customHeight="1" x14ac:dyDescent="0.25">
      <c r="A487" s="64"/>
      <c r="B487" s="64"/>
      <c r="C487" s="64"/>
      <c r="D487" s="64"/>
      <c r="E487" s="71" t="s">
        <v>178</v>
      </c>
      <c r="F487" s="64"/>
      <c r="G487" s="21"/>
      <c r="H487" s="21"/>
      <c r="I487" s="21"/>
      <c r="J487" s="21"/>
      <c r="K487" s="21"/>
      <c r="L487" s="21"/>
      <c r="M487" s="21"/>
    </row>
    <row r="488" spans="1:13" x14ac:dyDescent="0.25">
      <c r="A488" s="64">
        <v>2722</v>
      </c>
      <c r="B488" s="64" t="s">
        <v>12</v>
      </c>
      <c r="C488" s="64">
        <v>2</v>
      </c>
      <c r="D488" s="64">
        <v>2</v>
      </c>
      <c r="E488" s="71" t="s">
        <v>301</v>
      </c>
      <c r="F488" s="64"/>
      <c r="G488" s="21"/>
      <c r="H488" s="21"/>
      <c r="I488" s="21"/>
      <c r="J488" s="21"/>
      <c r="K488" s="21"/>
      <c r="L488" s="21"/>
      <c r="M488" s="21"/>
    </row>
    <row r="489" spans="1:13" ht="40.5" x14ac:dyDescent="0.25">
      <c r="A489" s="64"/>
      <c r="B489" s="64"/>
      <c r="C489" s="64"/>
      <c r="D489" s="64"/>
      <c r="E489" s="71" t="s">
        <v>177</v>
      </c>
      <c r="F489" s="64"/>
      <c r="G489" s="21"/>
      <c r="H489" s="21"/>
      <c r="I489" s="21"/>
      <c r="J489" s="21"/>
      <c r="K489" s="21"/>
      <c r="L489" s="21"/>
      <c r="M489" s="21"/>
    </row>
    <row r="490" spans="1:13" x14ac:dyDescent="0.25">
      <c r="A490" s="64"/>
      <c r="B490" s="64"/>
      <c r="C490" s="64"/>
      <c r="D490" s="64"/>
      <c r="E490" s="71" t="s">
        <v>178</v>
      </c>
      <c r="F490" s="64"/>
      <c r="G490" s="21"/>
      <c r="H490" s="21"/>
      <c r="I490" s="21"/>
      <c r="J490" s="21"/>
      <c r="K490" s="21"/>
      <c r="L490" s="21"/>
      <c r="M490" s="21"/>
    </row>
    <row r="491" spans="1:13" ht="53.25" customHeight="1" x14ac:dyDescent="0.25">
      <c r="A491" s="64"/>
      <c r="B491" s="64"/>
      <c r="C491" s="64"/>
      <c r="D491" s="64"/>
      <c r="E491" s="71" t="s">
        <v>178</v>
      </c>
      <c r="F491" s="64"/>
      <c r="G491" s="21"/>
      <c r="H491" s="21"/>
      <c r="I491" s="21"/>
      <c r="J491" s="21"/>
      <c r="K491" s="21"/>
      <c r="L491" s="21"/>
      <c r="M491" s="21"/>
    </row>
    <row r="492" spans="1:13" x14ac:dyDescent="0.25">
      <c r="A492" s="64">
        <v>2723</v>
      </c>
      <c r="B492" s="64" t="s">
        <v>12</v>
      </c>
      <c r="C492" s="64">
        <v>2</v>
      </c>
      <c r="D492" s="64">
        <v>3</v>
      </c>
      <c r="E492" s="71" t="s">
        <v>302</v>
      </c>
      <c r="F492" s="64"/>
      <c r="G492" s="21"/>
      <c r="H492" s="21"/>
      <c r="I492" s="21"/>
      <c r="J492" s="21"/>
      <c r="K492" s="21"/>
      <c r="L492" s="21"/>
      <c r="M492" s="21"/>
    </row>
    <row r="493" spans="1:13" ht="40.5" x14ac:dyDescent="0.25">
      <c r="A493" s="64"/>
      <c r="B493" s="64"/>
      <c r="C493" s="64"/>
      <c r="D493" s="64"/>
      <c r="E493" s="71" t="s">
        <v>177</v>
      </c>
      <c r="F493" s="64"/>
      <c r="G493" s="21"/>
      <c r="H493" s="21"/>
      <c r="I493" s="21"/>
      <c r="J493" s="21"/>
      <c r="K493" s="21"/>
      <c r="L493" s="21"/>
      <c r="M493" s="21"/>
    </row>
    <row r="494" spans="1:13" x14ac:dyDescent="0.25">
      <c r="A494" s="64"/>
      <c r="B494" s="64"/>
      <c r="C494" s="64"/>
      <c r="D494" s="64"/>
      <c r="E494" s="71" t="s">
        <v>178</v>
      </c>
      <c r="F494" s="64"/>
      <c r="G494" s="21"/>
      <c r="H494" s="21"/>
      <c r="I494" s="21"/>
      <c r="J494" s="21"/>
      <c r="K494" s="21"/>
      <c r="L494" s="21"/>
      <c r="M494" s="21"/>
    </row>
    <row r="495" spans="1:13" ht="54.75" customHeight="1" x14ac:dyDescent="0.25">
      <c r="A495" s="64"/>
      <c r="B495" s="64"/>
      <c r="C495" s="64"/>
      <c r="D495" s="64"/>
      <c r="E495" s="71" t="s">
        <v>178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>
        <v>2724</v>
      </c>
      <c r="B496" s="64" t="s">
        <v>12</v>
      </c>
      <c r="C496" s="64">
        <v>2</v>
      </c>
      <c r="D496" s="64">
        <v>4</v>
      </c>
      <c r="E496" s="71" t="s">
        <v>303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x14ac:dyDescent="0.25">
      <c r="A497" s="64"/>
      <c r="B497" s="64"/>
      <c r="C497" s="64"/>
      <c r="D497" s="64"/>
      <c r="E497" s="71" t="s">
        <v>177</v>
      </c>
      <c r="F497" s="64"/>
      <c r="G497" s="21"/>
      <c r="H497" s="21"/>
      <c r="I497" s="21"/>
      <c r="J497" s="21"/>
      <c r="K497" s="21"/>
      <c r="L497" s="21"/>
      <c r="M497" s="21"/>
    </row>
    <row r="498" spans="1:13" x14ac:dyDescent="0.25">
      <c r="A498" s="64"/>
      <c r="B498" s="64"/>
      <c r="C498" s="64"/>
      <c r="D498" s="64"/>
      <c r="E498" s="71" t="s">
        <v>178</v>
      </c>
      <c r="F498" s="64"/>
      <c r="G498" s="21"/>
      <c r="H498" s="21"/>
      <c r="I498" s="21"/>
      <c r="J498" s="21"/>
      <c r="K498" s="21"/>
      <c r="L498" s="21"/>
      <c r="M498" s="21"/>
    </row>
    <row r="499" spans="1:13" x14ac:dyDescent="0.25">
      <c r="A499" s="64"/>
      <c r="B499" s="64"/>
      <c r="C499" s="64"/>
      <c r="D499" s="64"/>
      <c r="E499" s="71" t="s">
        <v>178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customHeight="1" x14ac:dyDescent="0.25">
      <c r="A500" s="64">
        <v>2730</v>
      </c>
      <c r="B500" s="64" t="s">
        <v>12</v>
      </c>
      <c r="C500" s="64">
        <v>3</v>
      </c>
      <c r="D500" s="64">
        <v>0</v>
      </c>
      <c r="E500" s="71" t="s">
        <v>304</v>
      </c>
      <c r="F500" s="64"/>
      <c r="G500" s="21"/>
      <c r="H500" s="21"/>
      <c r="I500" s="21"/>
      <c r="J500" s="21"/>
      <c r="K500" s="21"/>
      <c r="L500" s="21"/>
      <c r="M500" s="21"/>
    </row>
    <row r="501" spans="1:13" ht="52.5" customHeight="1" x14ac:dyDescent="0.25">
      <c r="A501" s="64"/>
      <c r="B501" s="64"/>
      <c r="C501" s="64"/>
      <c r="D501" s="64"/>
      <c r="E501" s="71" t="s">
        <v>156</v>
      </c>
      <c r="F501" s="64"/>
      <c r="G501" s="21"/>
      <c r="H501" s="21"/>
      <c r="I501" s="21"/>
      <c r="J501" s="21"/>
      <c r="K501" s="21"/>
      <c r="L501" s="21"/>
      <c r="M501" s="21"/>
    </row>
    <row r="502" spans="1:13" ht="27" x14ac:dyDescent="0.25">
      <c r="A502" s="64">
        <v>2731</v>
      </c>
      <c r="B502" s="64" t="s">
        <v>12</v>
      </c>
      <c r="C502" s="64">
        <v>3</v>
      </c>
      <c r="D502" s="64">
        <v>1</v>
      </c>
      <c r="E502" s="71" t="s">
        <v>305</v>
      </c>
      <c r="F502" s="64"/>
      <c r="G502" s="21"/>
      <c r="H502" s="21"/>
      <c r="I502" s="21"/>
      <c r="J502" s="21"/>
      <c r="K502" s="21"/>
      <c r="L502" s="21"/>
      <c r="M502" s="21"/>
    </row>
    <row r="503" spans="1:13" ht="40.5" x14ac:dyDescent="0.25">
      <c r="A503" s="64"/>
      <c r="B503" s="64"/>
      <c r="C503" s="64"/>
      <c r="D503" s="64"/>
      <c r="E503" s="71" t="s">
        <v>177</v>
      </c>
      <c r="F503" s="64"/>
      <c r="G503" s="21"/>
      <c r="H503" s="21"/>
      <c r="I503" s="21"/>
      <c r="J503" s="21"/>
      <c r="K503" s="21"/>
      <c r="L503" s="21"/>
      <c r="M503" s="21"/>
    </row>
    <row r="504" spans="1:13" ht="37.5" customHeight="1" x14ac:dyDescent="0.25">
      <c r="A504" s="64"/>
      <c r="B504" s="64"/>
      <c r="C504" s="64"/>
      <c r="D504" s="64"/>
      <c r="E504" s="71" t="s">
        <v>178</v>
      </c>
      <c r="F504" s="64"/>
      <c r="G504" s="21"/>
      <c r="H504" s="21"/>
      <c r="I504" s="21"/>
      <c r="J504" s="21"/>
      <c r="K504" s="21"/>
      <c r="L504" s="21"/>
      <c r="M504" s="21"/>
    </row>
    <row r="505" spans="1:13" ht="57" customHeight="1" x14ac:dyDescent="0.25">
      <c r="A505" s="64"/>
      <c r="B505" s="64"/>
      <c r="C505" s="64"/>
      <c r="D505" s="64"/>
      <c r="E505" s="71" t="s">
        <v>178</v>
      </c>
      <c r="F505" s="64"/>
      <c r="G505" s="21"/>
      <c r="H505" s="21"/>
      <c r="I505" s="21"/>
      <c r="J505" s="21"/>
      <c r="K505" s="21"/>
      <c r="L505" s="21"/>
      <c r="M505" s="21"/>
    </row>
    <row r="506" spans="1:13" ht="27" x14ac:dyDescent="0.25">
      <c r="A506" s="64">
        <v>2732</v>
      </c>
      <c r="B506" s="64" t="s">
        <v>12</v>
      </c>
      <c r="C506" s="64">
        <v>3</v>
      </c>
      <c r="D506" s="64">
        <v>2</v>
      </c>
      <c r="E506" s="71" t="s">
        <v>306</v>
      </c>
      <c r="F506" s="64"/>
      <c r="G506" s="21"/>
      <c r="H506" s="21"/>
      <c r="I506" s="21"/>
      <c r="J506" s="21"/>
      <c r="K506" s="21"/>
      <c r="L506" s="21"/>
      <c r="M506" s="21"/>
    </row>
    <row r="507" spans="1:13" ht="40.5" x14ac:dyDescent="0.25">
      <c r="A507" s="64"/>
      <c r="B507" s="64"/>
      <c r="C507" s="64"/>
      <c r="D507" s="64"/>
      <c r="E507" s="71" t="s">
        <v>177</v>
      </c>
      <c r="F507" s="64"/>
      <c r="G507" s="21"/>
      <c r="H507" s="21"/>
      <c r="I507" s="21"/>
      <c r="J507" s="21"/>
      <c r="K507" s="21"/>
      <c r="L507" s="21"/>
      <c r="M507" s="21"/>
    </row>
    <row r="508" spans="1:13" ht="33.75" customHeight="1" x14ac:dyDescent="0.25">
      <c r="A508" s="64"/>
      <c r="B508" s="64"/>
      <c r="C508" s="64"/>
      <c r="D508" s="64"/>
      <c r="E508" s="71" t="s">
        <v>178</v>
      </c>
      <c r="F508" s="64"/>
      <c r="G508" s="21"/>
      <c r="H508" s="21"/>
      <c r="I508" s="21"/>
      <c r="J508" s="21"/>
      <c r="K508" s="21"/>
      <c r="L508" s="21"/>
      <c r="M508" s="21"/>
    </row>
    <row r="509" spans="1:13" ht="53.25" customHeight="1" x14ac:dyDescent="0.25">
      <c r="A509" s="64"/>
      <c r="B509" s="64"/>
      <c r="C509" s="64"/>
      <c r="D509" s="64"/>
      <c r="E509" s="71" t="s">
        <v>178</v>
      </c>
      <c r="F509" s="64"/>
      <c r="G509" s="21"/>
      <c r="H509" s="21"/>
      <c r="I509" s="21"/>
      <c r="J509" s="21"/>
      <c r="K509" s="21"/>
      <c r="L509" s="21"/>
      <c r="M509" s="21"/>
    </row>
    <row r="510" spans="1:13" ht="27" x14ac:dyDescent="0.25">
      <c r="A510" s="64">
        <v>2733</v>
      </c>
      <c r="B510" s="64" t="s">
        <v>12</v>
      </c>
      <c r="C510" s="64">
        <v>3</v>
      </c>
      <c r="D510" s="64">
        <v>3</v>
      </c>
      <c r="E510" s="71" t="s">
        <v>307</v>
      </c>
      <c r="F510" s="64"/>
      <c r="G510" s="21"/>
      <c r="H510" s="21"/>
      <c r="I510" s="21"/>
      <c r="J510" s="21"/>
      <c r="K510" s="21"/>
      <c r="L510" s="21"/>
      <c r="M510" s="21"/>
    </row>
    <row r="511" spans="1:13" ht="40.5" x14ac:dyDescent="0.25">
      <c r="A511" s="64"/>
      <c r="B511" s="64"/>
      <c r="C511" s="64"/>
      <c r="D511" s="64"/>
      <c r="E511" s="71" t="s">
        <v>177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customHeight="1" x14ac:dyDescent="0.25">
      <c r="A512" s="64"/>
      <c r="B512" s="64"/>
      <c r="C512" s="64"/>
      <c r="D512" s="64"/>
      <c r="E512" s="71" t="s">
        <v>178</v>
      </c>
      <c r="F512" s="64"/>
      <c r="G512" s="21"/>
      <c r="H512" s="21"/>
      <c r="I512" s="21"/>
      <c r="J512" s="21"/>
      <c r="K512" s="21"/>
      <c r="L512" s="21"/>
      <c r="M512" s="21"/>
    </row>
    <row r="513" spans="1:13" ht="52.5" customHeight="1" x14ac:dyDescent="0.25">
      <c r="A513" s="64"/>
      <c r="B513" s="64"/>
      <c r="C513" s="64"/>
      <c r="D513" s="64"/>
      <c r="E513" s="71" t="s">
        <v>178</v>
      </c>
      <c r="F513" s="64"/>
      <c r="G513" s="21"/>
      <c r="H513" s="21"/>
      <c r="I513" s="21"/>
      <c r="J513" s="21"/>
      <c r="K513" s="21"/>
      <c r="L513" s="21"/>
      <c r="M513" s="21"/>
    </row>
    <row r="514" spans="1:13" ht="27" x14ac:dyDescent="0.25">
      <c r="A514" s="64">
        <v>2734</v>
      </c>
      <c r="B514" s="64" t="s">
        <v>12</v>
      </c>
      <c r="C514" s="64">
        <v>3</v>
      </c>
      <c r="D514" s="64">
        <v>4</v>
      </c>
      <c r="E514" s="71" t="s">
        <v>308</v>
      </c>
      <c r="F514" s="64"/>
      <c r="G514" s="21"/>
      <c r="H514" s="21"/>
      <c r="I514" s="21"/>
      <c r="J514" s="21"/>
      <c r="K514" s="21"/>
      <c r="L514" s="21"/>
      <c r="M514" s="21"/>
    </row>
    <row r="515" spans="1:13" ht="40.5" x14ac:dyDescent="0.25">
      <c r="A515" s="64"/>
      <c r="B515" s="64"/>
      <c r="C515" s="64"/>
      <c r="D515" s="64"/>
      <c r="E515" s="71" t="s">
        <v>177</v>
      </c>
      <c r="F515" s="64"/>
      <c r="G515" s="21"/>
      <c r="H515" s="21"/>
      <c r="I515" s="21"/>
      <c r="J515" s="21"/>
      <c r="K515" s="21"/>
      <c r="L515" s="21"/>
      <c r="M515" s="21"/>
    </row>
    <row r="516" spans="1:13" x14ac:dyDescent="0.25">
      <c r="A516" s="64"/>
      <c r="B516" s="64"/>
      <c r="C516" s="64"/>
      <c r="D516" s="64"/>
      <c r="E516" s="71" t="s">
        <v>178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/>
      <c r="B517" s="64"/>
      <c r="C517" s="64"/>
      <c r="D517" s="64"/>
      <c r="E517" s="71" t="s">
        <v>178</v>
      </c>
      <c r="F517" s="64"/>
      <c r="G517" s="21"/>
      <c r="H517" s="21"/>
      <c r="I517" s="21"/>
      <c r="J517" s="21"/>
      <c r="K517" s="21"/>
      <c r="L517" s="21"/>
      <c r="M517" s="21"/>
    </row>
    <row r="518" spans="1:13" x14ac:dyDescent="0.25">
      <c r="A518" s="64">
        <v>2740</v>
      </c>
      <c r="B518" s="64" t="s">
        <v>12</v>
      </c>
      <c r="C518" s="64">
        <v>4</v>
      </c>
      <c r="D518" s="64">
        <v>0</v>
      </c>
      <c r="E518" s="71" t="s">
        <v>309</v>
      </c>
      <c r="F518" s="64"/>
      <c r="G518" s="21"/>
      <c r="H518" s="21"/>
      <c r="I518" s="21"/>
      <c r="J518" s="21"/>
      <c r="K518" s="21"/>
      <c r="L518" s="21"/>
      <c r="M518" s="21"/>
    </row>
    <row r="519" spans="1:13" ht="53.25" customHeight="1" x14ac:dyDescent="0.25">
      <c r="A519" s="64"/>
      <c r="B519" s="64"/>
      <c r="C519" s="64"/>
      <c r="D519" s="64"/>
      <c r="E519" s="71" t="s">
        <v>156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>
        <v>2741</v>
      </c>
      <c r="B520" s="64" t="s">
        <v>12</v>
      </c>
      <c r="C520" s="64">
        <v>4</v>
      </c>
      <c r="D520" s="64">
        <v>1</v>
      </c>
      <c r="E520" s="71" t="s">
        <v>309</v>
      </c>
      <c r="F520" s="64"/>
      <c r="G520" s="21"/>
      <c r="H520" s="21"/>
      <c r="I520" s="21"/>
      <c r="J520" s="21"/>
      <c r="K520" s="21"/>
      <c r="L520" s="21"/>
      <c r="M520" s="21"/>
    </row>
    <row r="521" spans="1:13" ht="40.5" x14ac:dyDescent="0.25">
      <c r="A521" s="64"/>
      <c r="B521" s="64"/>
      <c r="C521" s="64"/>
      <c r="D521" s="64"/>
      <c r="E521" s="71" t="s">
        <v>177</v>
      </c>
      <c r="F521" s="64"/>
      <c r="G521" s="21"/>
      <c r="H521" s="21"/>
      <c r="I521" s="21"/>
      <c r="J521" s="21"/>
      <c r="K521" s="21"/>
      <c r="L521" s="21"/>
      <c r="M521" s="21"/>
    </row>
    <row r="522" spans="1:13" ht="39.75" customHeight="1" x14ac:dyDescent="0.25">
      <c r="A522" s="64"/>
      <c r="B522" s="64"/>
      <c r="C522" s="64"/>
      <c r="D522" s="64"/>
      <c r="E522" s="71" t="s">
        <v>178</v>
      </c>
      <c r="F522" s="64"/>
      <c r="G522" s="21"/>
      <c r="H522" s="21"/>
      <c r="I522" s="21"/>
      <c r="J522" s="21"/>
      <c r="K522" s="21"/>
      <c r="L522" s="21"/>
      <c r="M522" s="21"/>
    </row>
    <row r="523" spans="1:13" x14ac:dyDescent="0.25">
      <c r="A523" s="64"/>
      <c r="B523" s="64"/>
      <c r="C523" s="64"/>
      <c r="D523" s="64"/>
      <c r="E523" s="71" t="s">
        <v>178</v>
      </c>
      <c r="F523" s="64"/>
      <c r="G523" s="21"/>
      <c r="H523" s="21"/>
      <c r="I523" s="21"/>
      <c r="J523" s="21"/>
      <c r="K523" s="21"/>
      <c r="L523" s="21"/>
      <c r="M523" s="21"/>
    </row>
    <row r="524" spans="1:13" ht="42.75" customHeight="1" x14ac:dyDescent="0.25">
      <c r="A524" s="64">
        <v>2750</v>
      </c>
      <c r="B524" s="64" t="s">
        <v>12</v>
      </c>
      <c r="C524" s="64">
        <v>5</v>
      </c>
      <c r="D524" s="64">
        <v>0</v>
      </c>
      <c r="E524" s="71" t="s">
        <v>310</v>
      </c>
      <c r="F524" s="64"/>
      <c r="G524" s="21"/>
      <c r="H524" s="21"/>
      <c r="I524" s="21"/>
      <c r="J524" s="21"/>
      <c r="K524" s="21"/>
      <c r="L524" s="21"/>
      <c r="M524" s="21"/>
    </row>
    <row r="525" spans="1:13" ht="51" customHeight="1" x14ac:dyDescent="0.25">
      <c r="A525" s="64"/>
      <c r="B525" s="64"/>
      <c r="C525" s="64"/>
      <c r="D525" s="64"/>
      <c r="E525" s="71" t="s">
        <v>156</v>
      </c>
      <c r="F525" s="64"/>
      <c r="G525" s="21"/>
      <c r="H525" s="21"/>
      <c r="I525" s="21"/>
      <c r="J525" s="21"/>
      <c r="K525" s="21"/>
      <c r="L525" s="21"/>
      <c r="M525" s="21"/>
    </row>
    <row r="526" spans="1:13" ht="27" x14ac:dyDescent="0.25">
      <c r="A526" s="64">
        <v>2751</v>
      </c>
      <c r="B526" s="64" t="s">
        <v>12</v>
      </c>
      <c r="C526" s="64">
        <v>5</v>
      </c>
      <c r="D526" s="64">
        <v>1</v>
      </c>
      <c r="E526" s="71" t="s">
        <v>310</v>
      </c>
      <c r="F526" s="64"/>
      <c r="G526" s="21"/>
      <c r="H526" s="21"/>
      <c r="I526" s="21"/>
      <c r="J526" s="21"/>
      <c r="K526" s="21"/>
      <c r="L526" s="21"/>
      <c r="M526" s="21"/>
    </row>
    <row r="527" spans="1:13" ht="40.5" x14ac:dyDescent="0.25">
      <c r="A527" s="64"/>
      <c r="B527" s="64"/>
      <c r="C527" s="64"/>
      <c r="D527" s="64"/>
      <c r="E527" s="71" t="s">
        <v>177</v>
      </c>
      <c r="F527" s="64"/>
      <c r="G527" s="21"/>
      <c r="H527" s="21"/>
      <c r="I527" s="21"/>
      <c r="J527" s="21"/>
      <c r="K527" s="21"/>
      <c r="L527" s="21"/>
      <c r="M527" s="21"/>
    </row>
    <row r="528" spans="1:13" x14ac:dyDescent="0.25">
      <c r="A528" s="64"/>
      <c r="B528" s="64"/>
      <c r="C528" s="64"/>
      <c r="D528" s="64"/>
      <c r="E528" s="71" t="s">
        <v>178</v>
      </c>
      <c r="F528" s="64"/>
      <c r="G528" s="21"/>
      <c r="H528" s="21"/>
      <c r="I528" s="21"/>
      <c r="J528" s="21"/>
      <c r="K528" s="21"/>
      <c r="L528" s="21"/>
      <c r="M528" s="21"/>
    </row>
    <row r="529" spans="1:13" x14ac:dyDescent="0.25">
      <c r="A529" s="64"/>
      <c r="B529" s="64"/>
      <c r="C529" s="64"/>
      <c r="D529" s="64"/>
      <c r="E529" s="71" t="s">
        <v>178</v>
      </c>
      <c r="F529" s="64"/>
      <c r="G529" s="21"/>
      <c r="H529" s="21"/>
      <c r="I529" s="21"/>
      <c r="J529" s="21"/>
      <c r="K529" s="21"/>
      <c r="L529" s="21"/>
      <c r="M529" s="21"/>
    </row>
    <row r="530" spans="1:13" ht="39" customHeight="1" x14ac:dyDescent="0.25">
      <c r="A530" s="64">
        <v>2760</v>
      </c>
      <c r="B530" s="64" t="s">
        <v>12</v>
      </c>
      <c r="C530" s="64">
        <v>6</v>
      </c>
      <c r="D530" s="64">
        <v>0</v>
      </c>
      <c r="E530" s="71" t="s">
        <v>311</v>
      </c>
      <c r="F530" s="64"/>
      <c r="G530" s="21"/>
      <c r="H530" s="21"/>
      <c r="I530" s="21"/>
      <c r="J530" s="21"/>
      <c r="K530" s="21"/>
      <c r="L530" s="21"/>
      <c r="M530" s="21"/>
    </row>
    <row r="531" spans="1:13" ht="51" customHeight="1" x14ac:dyDescent="0.25">
      <c r="A531" s="64"/>
      <c r="B531" s="64"/>
      <c r="C531" s="64"/>
      <c r="D531" s="64"/>
      <c r="E531" s="71" t="s">
        <v>156</v>
      </c>
      <c r="F531" s="64"/>
      <c r="G531" s="21"/>
      <c r="H531" s="21"/>
      <c r="I531" s="21"/>
      <c r="J531" s="21"/>
      <c r="K531" s="21"/>
      <c r="L531" s="21"/>
      <c r="M531" s="21"/>
    </row>
    <row r="532" spans="1:13" ht="27" x14ac:dyDescent="0.25">
      <c r="A532" s="64">
        <v>2761</v>
      </c>
      <c r="B532" s="64" t="s">
        <v>12</v>
      </c>
      <c r="C532" s="64">
        <v>6</v>
      </c>
      <c r="D532" s="64">
        <v>1</v>
      </c>
      <c r="E532" s="71" t="s">
        <v>312</v>
      </c>
      <c r="F532" s="64"/>
      <c r="G532" s="21"/>
      <c r="H532" s="21"/>
      <c r="I532" s="21"/>
      <c r="J532" s="21"/>
      <c r="K532" s="21"/>
      <c r="L532" s="21"/>
      <c r="M532" s="21"/>
    </row>
    <row r="533" spans="1:13" ht="40.5" x14ac:dyDescent="0.25">
      <c r="A533" s="64"/>
      <c r="B533" s="64"/>
      <c r="C533" s="64"/>
      <c r="D533" s="64"/>
      <c r="E533" s="71" t="s">
        <v>177</v>
      </c>
      <c r="F533" s="64"/>
      <c r="G533" s="21"/>
      <c r="H533" s="21"/>
      <c r="I533" s="21"/>
      <c r="J533" s="21"/>
      <c r="K533" s="21"/>
      <c r="L533" s="21"/>
      <c r="M533" s="21"/>
    </row>
    <row r="534" spans="1:13" x14ac:dyDescent="0.25">
      <c r="A534" s="64"/>
      <c r="B534" s="64"/>
      <c r="C534" s="64"/>
      <c r="D534" s="64"/>
      <c r="E534" s="71" t="s">
        <v>178</v>
      </c>
      <c r="F534" s="64"/>
      <c r="G534" s="21"/>
      <c r="H534" s="21"/>
      <c r="I534" s="21"/>
      <c r="J534" s="21"/>
      <c r="K534" s="21"/>
      <c r="L534" s="21"/>
      <c r="M534" s="21"/>
    </row>
    <row r="535" spans="1:13" ht="57.75" customHeight="1" x14ac:dyDescent="0.25">
      <c r="A535" s="64"/>
      <c r="B535" s="64"/>
      <c r="C535" s="64"/>
      <c r="D535" s="64"/>
      <c r="E535" s="71" t="s">
        <v>178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>
        <v>2762</v>
      </c>
      <c r="B536" s="64" t="s">
        <v>12</v>
      </c>
      <c r="C536" s="64">
        <v>6</v>
      </c>
      <c r="D536" s="64">
        <v>2</v>
      </c>
      <c r="E536" s="71" t="s">
        <v>311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/>
      <c r="B537" s="64"/>
      <c r="C537" s="64"/>
      <c r="D537" s="64"/>
      <c r="E537" s="71" t="s">
        <v>177</v>
      </c>
      <c r="F537" s="64"/>
      <c r="G537" s="21"/>
      <c r="H537" s="21"/>
      <c r="I537" s="21"/>
      <c r="J537" s="21"/>
      <c r="K537" s="21"/>
      <c r="L537" s="21"/>
      <c r="M537" s="21"/>
    </row>
    <row r="538" spans="1:13" ht="60.75" customHeight="1" x14ac:dyDescent="0.25">
      <c r="A538" s="64"/>
      <c r="B538" s="64"/>
      <c r="C538" s="64"/>
      <c r="D538" s="64"/>
      <c r="E538" s="71" t="s">
        <v>178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/>
      <c r="B539" s="64"/>
      <c r="C539" s="64"/>
      <c r="D539" s="64"/>
      <c r="E539" s="71" t="s">
        <v>178</v>
      </c>
      <c r="F539" s="64"/>
      <c r="G539" s="21"/>
      <c r="H539" s="21"/>
      <c r="I539" s="21"/>
      <c r="J539" s="21"/>
      <c r="K539" s="21"/>
      <c r="L539" s="21"/>
      <c r="M539" s="21"/>
    </row>
    <row r="540" spans="1:13" ht="40.5" x14ac:dyDescent="0.25">
      <c r="A540" s="64">
        <v>2800</v>
      </c>
      <c r="B540" s="64" t="s">
        <v>13</v>
      </c>
      <c r="C540" s="64">
        <v>0</v>
      </c>
      <c r="D540" s="64">
        <v>0</v>
      </c>
      <c r="E540" s="71" t="s">
        <v>313</v>
      </c>
      <c r="F540" s="64"/>
      <c r="G540" s="21">
        <f t="shared" ref="G540:M540" si="52">+G542+G555+G597+G610+G630</f>
        <v>1515663.7300000002</v>
      </c>
      <c r="H540" s="21">
        <f t="shared" si="52"/>
        <v>1505163.7300000002</v>
      </c>
      <c r="I540" s="21">
        <f t="shared" si="52"/>
        <v>10500</v>
      </c>
      <c r="J540" s="21">
        <f t="shared" si="52"/>
        <v>356717.16399209475</v>
      </c>
      <c r="K540" s="21">
        <f t="shared" si="52"/>
        <v>747230.50835968333</v>
      </c>
      <c r="L540" s="21">
        <f t="shared" si="52"/>
        <v>1144287.6114229255</v>
      </c>
      <c r="M540" s="21">
        <f t="shared" si="52"/>
        <v>1515663.7300000002</v>
      </c>
    </row>
    <row r="541" spans="1:13" x14ac:dyDescent="0.25">
      <c r="A541" s="64"/>
      <c r="B541" s="64"/>
      <c r="C541" s="64"/>
      <c r="D541" s="64"/>
      <c r="E541" s="71" t="s">
        <v>154</v>
      </c>
      <c r="F541" s="64"/>
      <c r="G541" s="21"/>
      <c r="H541" s="21"/>
      <c r="I541" s="21"/>
      <c r="J541" s="21"/>
      <c r="K541" s="21"/>
      <c r="L541" s="21"/>
      <c r="M541" s="21"/>
    </row>
    <row r="542" spans="1:13" x14ac:dyDescent="0.25">
      <c r="A542" s="64">
        <v>2810</v>
      </c>
      <c r="B542" s="64" t="s">
        <v>13</v>
      </c>
      <c r="C542" s="64">
        <v>1</v>
      </c>
      <c r="D542" s="64">
        <v>0</v>
      </c>
      <c r="E542" s="71" t="s">
        <v>314</v>
      </c>
      <c r="F542" s="64"/>
      <c r="G542" s="21">
        <f t="shared" ref="G542:M542" si="53">G544</f>
        <v>693531.8</v>
      </c>
      <c r="H542" s="21">
        <f t="shared" si="53"/>
        <v>693531.8</v>
      </c>
      <c r="I542" s="21">
        <f t="shared" si="53"/>
        <v>0</v>
      </c>
      <c r="J542" s="21">
        <f t="shared" si="53"/>
        <v>156505.81660079001</v>
      </c>
      <c r="K542" s="21">
        <f t="shared" si="53"/>
        <v>336420.59841897269</v>
      </c>
      <c r="L542" s="21">
        <f t="shared" si="53"/>
        <v>524920.86324110685</v>
      </c>
      <c r="M542" s="21">
        <f t="shared" si="53"/>
        <v>693531.8</v>
      </c>
    </row>
    <row r="543" spans="1:13" ht="58.5" customHeight="1" x14ac:dyDescent="0.25">
      <c r="A543" s="64"/>
      <c r="B543" s="64"/>
      <c r="C543" s="64"/>
      <c r="D543" s="64"/>
      <c r="E543" s="71" t="s">
        <v>156</v>
      </c>
      <c r="F543" s="64"/>
      <c r="G543" s="21"/>
      <c r="H543" s="21"/>
      <c r="I543" s="21"/>
      <c r="J543" s="21"/>
      <c r="K543" s="21"/>
      <c r="L543" s="21"/>
      <c r="M543" s="21"/>
    </row>
    <row r="544" spans="1:13" x14ac:dyDescent="0.25">
      <c r="A544" s="64">
        <v>2811</v>
      </c>
      <c r="B544" s="64" t="s">
        <v>13</v>
      </c>
      <c r="C544" s="64">
        <v>1</v>
      </c>
      <c r="D544" s="64">
        <v>1</v>
      </c>
      <c r="E544" s="71" t="s">
        <v>314</v>
      </c>
      <c r="F544" s="64"/>
      <c r="G544" s="21">
        <f t="shared" ref="G544:M544" si="54">SUM(G546:G553)</f>
        <v>693531.8</v>
      </c>
      <c r="H544" s="21">
        <f t="shared" si="54"/>
        <v>693531.8</v>
      </c>
      <c r="I544" s="21">
        <f t="shared" si="54"/>
        <v>0</v>
      </c>
      <c r="J544" s="21">
        <f t="shared" si="54"/>
        <v>156505.81660079001</v>
      </c>
      <c r="K544" s="21">
        <f t="shared" si="54"/>
        <v>336420.59841897269</v>
      </c>
      <c r="L544" s="21">
        <f t="shared" si="54"/>
        <v>524920.86324110685</v>
      </c>
      <c r="M544" s="21">
        <f t="shared" si="54"/>
        <v>693531.8</v>
      </c>
    </row>
    <row r="545" spans="1:16" ht="40.5" x14ac:dyDescent="0.25">
      <c r="A545" s="64"/>
      <c r="B545" s="64"/>
      <c r="C545" s="64"/>
      <c r="D545" s="64"/>
      <c r="E545" s="71" t="s">
        <v>177</v>
      </c>
      <c r="F545" s="64"/>
      <c r="G545" s="21"/>
      <c r="H545" s="21"/>
      <c r="I545" s="21"/>
      <c r="J545" s="21"/>
      <c r="K545" s="21"/>
      <c r="L545" s="21"/>
      <c r="M545" s="21"/>
    </row>
    <row r="546" spans="1:16" x14ac:dyDescent="0.25">
      <c r="A546" s="64"/>
      <c r="B546" s="64"/>
      <c r="C546" s="64"/>
      <c r="D546" s="64"/>
      <c r="E546" s="71" t="s">
        <v>558</v>
      </c>
      <c r="F546" s="64">
        <v>4221</v>
      </c>
      <c r="G546" s="21">
        <f t="shared" ref="G546:G553" si="55">SUM(H546:I546)</f>
        <v>55400</v>
      </c>
      <c r="H546" s="21">
        <v>55400</v>
      </c>
      <c r="I546" s="21"/>
      <c r="J546" s="146">
        <f t="shared" ref="J546:J553" si="56">+G546/253*62</f>
        <v>13576.284584980238</v>
      </c>
      <c r="K546" s="146">
        <f t="shared" ref="K546:K552" si="57">+G546/253*123</f>
        <v>26933.596837944664</v>
      </c>
      <c r="L546" s="146">
        <f t="shared" ref="L546:L553" si="58">+G546/253*188</f>
        <v>41166.798418972336</v>
      </c>
      <c r="M546" s="146">
        <f t="shared" ref="M546:M553" si="59">+G546</f>
        <v>55400</v>
      </c>
    </row>
    <row r="547" spans="1:16" x14ac:dyDescent="0.25">
      <c r="A547" s="64"/>
      <c r="B547" s="64"/>
      <c r="C547" s="64"/>
      <c r="D547" s="64"/>
      <c r="E547" s="71" t="s">
        <v>397</v>
      </c>
      <c r="F547" s="64">
        <v>4222</v>
      </c>
      <c r="G547" s="21">
        <f t="shared" si="55"/>
        <v>1500</v>
      </c>
      <c r="H547" s="21">
        <v>1500</v>
      </c>
      <c r="I547" s="21"/>
      <c r="J547" s="146">
        <f t="shared" si="56"/>
        <v>367.58893280632412</v>
      </c>
      <c r="K547" s="146">
        <f t="shared" si="57"/>
        <v>729.24901185770761</v>
      </c>
      <c r="L547" s="146">
        <f t="shared" si="58"/>
        <v>1114.6245059288538</v>
      </c>
      <c r="M547" s="146">
        <f t="shared" si="59"/>
        <v>1500</v>
      </c>
    </row>
    <row r="548" spans="1:16" x14ac:dyDescent="0.25">
      <c r="A548" s="64"/>
      <c r="B548" s="64"/>
      <c r="C548" s="64"/>
      <c r="D548" s="64"/>
      <c r="E548" s="71" t="s">
        <v>559</v>
      </c>
      <c r="F548" s="64">
        <v>4511</v>
      </c>
      <c r="G548" s="21">
        <f t="shared" si="55"/>
        <v>527155.30000000005</v>
      </c>
      <c r="H548" s="21">
        <v>527155.30000000005</v>
      </c>
      <c r="I548" s="21"/>
      <c r="J548" s="146">
        <v>107184.30276679801</v>
      </c>
      <c r="K548" s="146">
        <v>239625.5213438739</v>
      </c>
      <c r="L548" s="146">
        <v>388390.41067193693</v>
      </c>
      <c r="M548" s="146">
        <f t="shared" si="59"/>
        <v>527155.30000000005</v>
      </c>
    </row>
    <row r="549" spans="1:16" x14ac:dyDescent="0.25">
      <c r="A549" s="64"/>
      <c r="B549" s="64"/>
      <c r="C549" s="64"/>
      <c r="D549" s="64"/>
      <c r="E549" s="71" t="s">
        <v>560</v>
      </c>
      <c r="F549" s="64">
        <v>4729</v>
      </c>
      <c r="G549" s="21">
        <f t="shared" si="55"/>
        <v>45000</v>
      </c>
      <c r="H549" s="21">
        <v>45000</v>
      </c>
      <c r="I549" s="21"/>
      <c r="J549" s="146">
        <f t="shared" si="56"/>
        <v>11027.667984189724</v>
      </c>
      <c r="K549" s="146">
        <f t="shared" si="57"/>
        <v>21877.470355731224</v>
      </c>
      <c r="L549" s="146">
        <f t="shared" si="58"/>
        <v>33438.735177865616</v>
      </c>
      <c r="M549" s="146">
        <f t="shared" si="59"/>
        <v>45000</v>
      </c>
      <c r="O549" s="154"/>
      <c r="P549" s="154"/>
    </row>
    <row r="550" spans="1:16" ht="27" x14ac:dyDescent="0.25">
      <c r="A550" s="64"/>
      <c r="B550" s="64"/>
      <c r="C550" s="64"/>
      <c r="D550" s="64"/>
      <c r="E550" s="71" t="s">
        <v>565</v>
      </c>
      <c r="F550" s="64">
        <v>4819</v>
      </c>
      <c r="G550" s="21">
        <f t="shared" si="55"/>
        <v>50206.5</v>
      </c>
      <c r="H550" s="21">
        <v>50206.5</v>
      </c>
      <c r="I550" s="21"/>
      <c r="J550" s="146">
        <v>20852.9762845849</v>
      </c>
      <c r="K550" s="146">
        <v>40206.5</v>
      </c>
      <c r="L550" s="146">
        <v>50206.5</v>
      </c>
      <c r="M550" s="146">
        <f t="shared" si="59"/>
        <v>50206.5</v>
      </c>
      <c r="O550" s="154"/>
    </row>
    <row r="551" spans="1:16" x14ac:dyDescent="0.25">
      <c r="A551" s="64"/>
      <c r="B551" s="64"/>
      <c r="C551" s="64"/>
      <c r="D551" s="64"/>
      <c r="E551" s="71" t="s">
        <v>545</v>
      </c>
      <c r="F551" s="64">
        <v>4861</v>
      </c>
      <c r="G551" s="21">
        <f t="shared" si="55"/>
        <v>2500</v>
      </c>
      <c r="H551" s="21">
        <v>2500</v>
      </c>
      <c r="I551" s="21"/>
      <c r="J551" s="146">
        <f t="shared" si="56"/>
        <v>612.6482213438735</v>
      </c>
      <c r="K551" s="146">
        <f t="shared" si="57"/>
        <v>1215.4150197628458</v>
      </c>
      <c r="L551" s="146">
        <f t="shared" si="58"/>
        <v>1857.707509881423</v>
      </c>
      <c r="M551" s="146">
        <f t="shared" si="59"/>
        <v>2500</v>
      </c>
    </row>
    <row r="552" spans="1:16" x14ac:dyDescent="0.25">
      <c r="A552" s="64"/>
      <c r="B552" s="64"/>
      <c r="C552" s="64"/>
      <c r="D552" s="64"/>
      <c r="E552" s="71" t="s">
        <v>561</v>
      </c>
      <c r="F552" s="64">
        <v>4216</v>
      </c>
      <c r="G552" s="21">
        <f t="shared" si="55"/>
        <v>3770</v>
      </c>
      <c r="H552" s="21">
        <v>3770</v>
      </c>
      <c r="I552" s="21"/>
      <c r="J552" s="146">
        <f t="shared" si="56"/>
        <v>923.87351778656125</v>
      </c>
      <c r="K552" s="146">
        <f t="shared" si="57"/>
        <v>1832.8458498023715</v>
      </c>
      <c r="L552" s="146">
        <f t="shared" si="58"/>
        <v>2801.422924901186</v>
      </c>
      <c r="M552" s="146">
        <f t="shared" si="59"/>
        <v>3770</v>
      </c>
    </row>
    <row r="553" spans="1:16" ht="27" x14ac:dyDescent="0.25">
      <c r="A553" s="64"/>
      <c r="B553" s="64"/>
      <c r="C553" s="64"/>
      <c r="D553" s="64"/>
      <c r="E553" s="71" t="s">
        <v>563</v>
      </c>
      <c r="F553" s="64">
        <v>4727</v>
      </c>
      <c r="G553" s="21">
        <f t="shared" si="55"/>
        <v>8000</v>
      </c>
      <c r="H553" s="21">
        <v>8000</v>
      </c>
      <c r="I553" s="21"/>
      <c r="J553" s="146">
        <f t="shared" si="56"/>
        <v>1960.4743083003953</v>
      </c>
      <c r="K553" s="146">
        <v>4000</v>
      </c>
      <c r="L553" s="146">
        <f t="shared" si="58"/>
        <v>5944.664031620553</v>
      </c>
      <c r="M553" s="146">
        <f t="shared" si="59"/>
        <v>8000</v>
      </c>
    </row>
    <row r="554" spans="1:16" x14ac:dyDescent="0.25">
      <c r="A554" s="64"/>
      <c r="B554" s="64"/>
      <c r="C554" s="64"/>
      <c r="D554" s="64"/>
      <c r="E554" s="71" t="s">
        <v>178</v>
      </c>
      <c r="F554" s="64"/>
      <c r="G554" s="21"/>
      <c r="H554" s="21"/>
      <c r="I554" s="21"/>
      <c r="J554" s="21"/>
      <c r="K554" s="21"/>
      <c r="L554" s="21"/>
      <c r="M554" s="21"/>
    </row>
    <row r="555" spans="1:16" x14ac:dyDescent="0.25">
      <c r="A555" s="64">
        <v>2820</v>
      </c>
      <c r="B555" s="64" t="s">
        <v>13</v>
      </c>
      <c r="C555" s="64">
        <v>2</v>
      </c>
      <c r="D555" s="64">
        <v>0</v>
      </c>
      <c r="E555" s="71" t="s">
        <v>315</v>
      </c>
      <c r="F555" s="64"/>
      <c r="G555" s="21">
        <f t="shared" ref="G555:M555" si="60">G557+G563+G569+G575+G580+G584+G588</f>
        <v>770299.60000000009</v>
      </c>
      <c r="H555" s="21">
        <f t="shared" si="60"/>
        <v>759799.60000000009</v>
      </c>
      <c r="I555" s="21">
        <f t="shared" si="60"/>
        <v>10500</v>
      </c>
      <c r="J555" s="21">
        <f t="shared" si="60"/>
        <v>182509.45217391342</v>
      </c>
      <c r="K555" s="21">
        <f t="shared" si="60"/>
        <v>382669.27954545373</v>
      </c>
      <c r="L555" s="21">
        <f t="shared" si="60"/>
        <v>576526.51304347871</v>
      </c>
      <c r="M555" s="21">
        <f t="shared" si="60"/>
        <v>770299.60000000009</v>
      </c>
    </row>
    <row r="556" spans="1:16" ht="54.75" customHeight="1" x14ac:dyDescent="0.25">
      <c r="A556" s="64"/>
      <c r="B556" s="64"/>
      <c r="C556" s="64"/>
      <c r="D556" s="64"/>
      <c r="E556" s="71" t="s">
        <v>156</v>
      </c>
      <c r="F556" s="64"/>
      <c r="G556" s="21"/>
      <c r="H556" s="21"/>
      <c r="I556" s="21"/>
      <c r="J556" s="21"/>
      <c r="K556" s="21"/>
      <c r="L556" s="21"/>
      <c r="M556" s="21"/>
    </row>
    <row r="557" spans="1:16" x14ac:dyDescent="0.25">
      <c r="A557" s="64">
        <v>2821</v>
      </c>
      <c r="B557" s="64" t="s">
        <v>13</v>
      </c>
      <c r="C557" s="64">
        <v>2</v>
      </c>
      <c r="D557" s="64">
        <v>1</v>
      </c>
      <c r="E557" s="71" t="s">
        <v>316</v>
      </c>
      <c r="F557" s="64"/>
      <c r="G557" s="21">
        <f>G559+G560+G561+G562</f>
        <v>59232.7</v>
      </c>
      <c r="H557" s="21">
        <f t="shared" ref="H557:M557" si="61">H559+H560+H561+H562</f>
        <v>59232.7</v>
      </c>
      <c r="I557" s="21">
        <f t="shared" si="61"/>
        <v>0</v>
      </c>
      <c r="J557" s="21">
        <f t="shared" si="61"/>
        <v>15127.443083003953</v>
      </c>
      <c r="K557" s="21">
        <f t="shared" si="61"/>
        <v>29225.980632411109</v>
      </c>
      <c r="L557" s="21">
        <f t="shared" si="61"/>
        <v>44229.340316205533</v>
      </c>
      <c r="M557" s="21">
        <f t="shared" si="61"/>
        <v>59232.7</v>
      </c>
    </row>
    <row r="558" spans="1:16" ht="40.5" x14ac:dyDescent="0.25">
      <c r="A558" s="64"/>
      <c r="B558" s="64"/>
      <c r="C558" s="64"/>
      <c r="D558" s="64"/>
      <c r="E558" s="71" t="s">
        <v>177</v>
      </c>
      <c r="F558" s="64"/>
      <c r="G558" s="21"/>
      <c r="H558" s="21"/>
      <c r="I558" s="21"/>
      <c r="J558" s="21"/>
      <c r="K558" s="21"/>
      <c r="L558" s="21"/>
      <c r="M558" s="21"/>
    </row>
    <row r="559" spans="1:16" ht="27" x14ac:dyDescent="0.25">
      <c r="A559" s="64"/>
      <c r="B559" s="64"/>
      <c r="C559" s="64"/>
      <c r="D559" s="64"/>
      <c r="E559" s="71" t="s">
        <v>564</v>
      </c>
      <c r="F559" s="64">
        <v>4511</v>
      </c>
      <c r="G559" s="21">
        <f>SUM(H559:I559)</f>
        <v>56470</v>
      </c>
      <c r="H559" s="21">
        <v>56470</v>
      </c>
      <c r="I559" s="21"/>
      <c r="J559" s="146">
        <v>13997.154150197628</v>
      </c>
      <c r="K559" s="146">
        <v>27634.0316205534</v>
      </c>
      <c r="L559" s="146">
        <v>42152.01581027668</v>
      </c>
      <c r="M559" s="146">
        <f>+G559</f>
        <v>56470</v>
      </c>
      <c r="O559" s="154"/>
    </row>
    <row r="560" spans="1:16" x14ac:dyDescent="0.25">
      <c r="A560" s="64"/>
      <c r="B560" s="64"/>
      <c r="C560" s="64"/>
      <c r="D560" s="64"/>
      <c r="E560" s="71" t="s">
        <v>561</v>
      </c>
      <c r="F560" s="64">
        <v>4216</v>
      </c>
      <c r="G560" s="21">
        <f>SUM(H560:I560)</f>
        <v>1200</v>
      </c>
      <c r="H560" s="21">
        <v>1200</v>
      </c>
      <c r="I560" s="21"/>
      <c r="J560" s="146">
        <v>300</v>
      </c>
      <c r="K560" s="146">
        <v>600</v>
      </c>
      <c r="L560" s="146">
        <v>900</v>
      </c>
      <c r="M560" s="146">
        <f>+G560</f>
        <v>1200</v>
      </c>
    </row>
    <row r="561" spans="1:18" ht="27" x14ac:dyDescent="0.25">
      <c r="A561" s="64"/>
      <c r="B561" s="64"/>
      <c r="C561" s="64"/>
      <c r="D561" s="64"/>
      <c r="E561" s="71" t="s">
        <v>565</v>
      </c>
      <c r="F561" s="64">
        <v>4819</v>
      </c>
      <c r="G561" s="21">
        <f>SUM(H561:I561)</f>
        <v>1562.7</v>
      </c>
      <c r="H561" s="21">
        <v>1562.7</v>
      </c>
      <c r="I561" s="21"/>
      <c r="J561" s="146">
        <v>830.28893280632406</v>
      </c>
      <c r="K561" s="146">
        <v>991.949011857708</v>
      </c>
      <c r="L561" s="146">
        <v>1177.3245059288538</v>
      </c>
      <c r="M561" s="146">
        <f>+G561</f>
        <v>1562.7</v>
      </c>
    </row>
    <row r="562" spans="1:18" ht="46.5" customHeight="1" x14ac:dyDescent="0.25">
      <c r="A562" s="64"/>
      <c r="B562" s="64"/>
      <c r="C562" s="64"/>
      <c r="D562" s="64"/>
      <c r="E562" s="71" t="s">
        <v>185</v>
      </c>
      <c r="F562" s="64" t="s">
        <v>94</v>
      </c>
      <c r="G562" s="21"/>
      <c r="H562" s="21"/>
      <c r="I562" s="21"/>
      <c r="J562" s="84"/>
      <c r="K562" s="84"/>
      <c r="L562" s="84"/>
      <c r="M562" s="84"/>
    </row>
    <row r="563" spans="1:18" ht="25.5" customHeight="1" x14ac:dyDescent="0.25">
      <c r="A563" s="64">
        <v>2822</v>
      </c>
      <c r="B563" s="64" t="s">
        <v>13</v>
      </c>
      <c r="C563" s="64">
        <v>2</v>
      </c>
      <c r="D563" s="64">
        <v>2</v>
      </c>
      <c r="E563" s="71" t="s">
        <v>317</v>
      </c>
      <c r="F563" s="64"/>
      <c r="G563" s="21">
        <f>SUM(G565:G566)</f>
        <v>77880.5</v>
      </c>
      <c r="H563" s="21">
        <f t="shared" ref="H563:M563" si="62">SUM(H565:H566)</f>
        <v>77880.5</v>
      </c>
      <c r="I563" s="21">
        <f t="shared" si="62"/>
        <v>0</v>
      </c>
      <c r="J563" s="21">
        <f t="shared" si="62"/>
        <v>19334.847826086956</v>
      </c>
      <c r="K563" s="21">
        <f t="shared" si="62"/>
        <v>38032.673913043473</v>
      </c>
      <c r="L563" s="21">
        <f t="shared" si="62"/>
        <v>57956.586956521744</v>
      </c>
      <c r="M563" s="21">
        <f t="shared" si="62"/>
        <v>77880.5</v>
      </c>
    </row>
    <row r="564" spans="1:18" ht="21.75" customHeight="1" x14ac:dyDescent="0.25">
      <c r="A564" s="64"/>
      <c r="B564" s="64"/>
      <c r="C564" s="64"/>
      <c r="D564" s="64"/>
      <c r="E564" s="71" t="s">
        <v>177</v>
      </c>
      <c r="F564" s="64"/>
      <c r="G564" s="21"/>
      <c r="H564" s="21"/>
      <c r="I564" s="21"/>
      <c r="J564" s="21"/>
      <c r="K564" s="21"/>
      <c r="L564" s="21"/>
      <c r="M564" s="21"/>
    </row>
    <row r="565" spans="1:18" ht="27" x14ac:dyDescent="0.25">
      <c r="A565" s="64"/>
      <c r="B565" s="64"/>
      <c r="C565" s="64"/>
      <c r="D565" s="64"/>
      <c r="E565" s="71" t="s">
        <v>565</v>
      </c>
      <c r="F565" s="64">
        <v>4819</v>
      </c>
      <c r="G565" s="21">
        <f>SUM(H565:I565)</f>
        <v>18523.5</v>
      </c>
      <c r="H565" s="21">
        <v>18523.5</v>
      </c>
      <c r="I565" s="21"/>
      <c r="J565" s="146">
        <v>4783.579051383399</v>
      </c>
      <c r="K565" s="146">
        <v>9171.7213438735162</v>
      </c>
      <c r="L565" s="146">
        <v>13847.610671936758</v>
      </c>
      <c r="M565" s="146">
        <f>+G565</f>
        <v>18523.5</v>
      </c>
    </row>
    <row r="566" spans="1:18" x14ac:dyDescent="0.25">
      <c r="A566" s="64"/>
      <c r="B566" s="64"/>
      <c r="C566" s="64"/>
      <c r="D566" s="64"/>
      <c r="E566" s="71" t="s">
        <v>587</v>
      </c>
      <c r="F566" s="64">
        <v>4511</v>
      </c>
      <c r="G566" s="21">
        <f>SUM(H566:I566)</f>
        <v>59357</v>
      </c>
      <c r="H566" s="21">
        <v>59357</v>
      </c>
      <c r="I566" s="21"/>
      <c r="J566" s="146">
        <v>14551.268774703558</v>
      </c>
      <c r="K566" s="146">
        <v>28860.95256916996</v>
      </c>
      <c r="L566" s="146">
        <v>44108.976284584984</v>
      </c>
      <c r="M566" s="146">
        <f>+G566</f>
        <v>59357</v>
      </c>
    </row>
    <row r="567" spans="1:18" x14ac:dyDescent="0.25">
      <c r="A567" s="64"/>
      <c r="B567" s="64"/>
      <c r="C567" s="64"/>
      <c r="D567" s="64"/>
      <c r="E567" s="71" t="s">
        <v>178</v>
      </c>
      <c r="F567" s="64"/>
      <c r="G567" s="21"/>
      <c r="H567" s="21"/>
      <c r="I567" s="21"/>
      <c r="J567" s="21"/>
      <c r="K567" s="21"/>
      <c r="L567" s="21"/>
      <c r="M567" s="21"/>
    </row>
    <row r="568" spans="1:18" ht="45.75" customHeight="1" x14ac:dyDescent="0.25">
      <c r="A568" s="64"/>
      <c r="B568" s="64"/>
      <c r="C568" s="64"/>
      <c r="D568" s="64"/>
      <c r="E568" s="71" t="s">
        <v>178</v>
      </c>
      <c r="F568" s="64"/>
      <c r="G568" s="21"/>
      <c r="H568" s="21"/>
      <c r="I568" s="21"/>
      <c r="J568" s="21"/>
      <c r="K568" s="21"/>
      <c r="L568" s="21"/>
      <c r="M568" s="21"/>
    </row>
    <row r="569" spans="1:18" ht="30.75" customHeight="1" x14ac:dyDescent="0.25">
      <c r="A569" s="64">
        <v>2823</v>
      </c>
      <c r="B569" s="64" t="s">
        <v>13</v>
      </c>
      <c r="C569" s="64">
        <v>2</v>
      </c>
      <c r="D569" s="64">
        <v>3</v>
      </c>
      <c r="E569" s="71" t="s">
        <v>318</v>
      </c>
      <c r="F569" s="64"/>
      <c r="G569" s="21">
        <f>SUM(G571:G573)</f>
        <v>616686.4</v>
      </c>
      <c r="H569" s="21">
        <f t="shared" ref="H569:M569" si="63">SUM(H571:H573)</f>
        <v>616686.4</v>
      </c>
      <c r="I569" s="21">
        <f t="shared" si="63"/>
        <v>0</v>
      </c>
      <c r="J569" s="21">
        <f t="shared" si="63"/>
        <v>144003.68300395296</v>
      </c>
      <c r="K569" s="21">
        <f t="shared" si="63"/>
        <v>307388.88586956437</v>
      </c>
      <c r="L569" s="21">
        <f t="shared" si="63"/>
        <v>462079.71620553406</v>
      </c>
      <c r="M569" s="21">
        <f t="shared" si="63"/>
        <v>616686.4</v>
      </c>
    </row>
    <row r="570" spans="1:18" ht="25.5" customHeight="1" x14ac:dyDescent="0.25">
      <c r="A570" s="64"/>
      <c r="B570" s="64"/>
      <c r="C570" s="64"/>
      <c r="D570" s="64"/>
      <c r="E570" s="71" t="s">
        <v>177</v>
      </c>
      <c r="F570" s="64"/>
      <c r="G570" s="21"/>
      <c r="H570" s="21"/>
      <c r="I570" s="21"/>
      <c r="J570" s="21"/>
      <c r="K570" s="21"/>
      <c r="L570" s="21"/>
      <c r="M570" s="21"/>
    </row>
    <row r="571" spans="1:18" ht="27" x14ac:dyDescent="0.25">
      <c r="A571" s="64"/>
      <c r="B571" s="64"/>
      <c r="C571" s="64"/>
      <c r="D571" s="64"/>
      <c r="E571" s="71" t="s">
        <v>752</v>
      </c>
      <c r="F571" s="64">
        <v>4819</v>
      </c>
      <c r="G571" s="21">
        <f>SUM(H571:I571)</f>
        <v>38280.699999999997</v>
      </c>
      <c r="H571" s="21">
        <v>38280.699999999997</v>
      </c>
      <c r="I571" s="21"/>
      <c r="J571" s="146">
        <v>12387.676284584981</v>
      </c>
      <c r="K571" s="146">
        <v>19636.233596837945</v>
      </c>
      <c r="L571" s="146">
        <v>28958.466798418973</v>
      </c>
      <c r="M571" s="146">
        <f>+G571</f>
        <v>38280.699999999997</v>
      </c>
    </row>
    <row r="572" spans="1:18" x14ac:dyDescent="0.25">
      <c r="A572" s="64"/>
      <c r="B572" s="64"/>
      <c r="C572" s="64"/>
      <c r="D572" s="64"/>
      <c r="E572" s="71" t="s">
        <v>586</v>
      </c>
      <c r="F572" s="64">
        <v>4511</v>
      </c>
      <c r="G572" s="21">
        <f>SUM(H572:I572)</f>
        <v>573905.70000000007</v>
      </c>
      <c r="H572" s="21">
        <v>573905.70000000007</v>
      </c>
      <c r="I572" s="21"/>
      <c r="J572" s="146">
        <v>130513.239920949</v>
      </c>
      <c r="K572" s="146">
        <v>283252.65227272641</v>
      </c>
      <c r="L572" s="146">
        <v>428621.2494071151</v>
      </c>
      <c r="M572" s="146">
        <f>+G572</f>
        <v>573905.70000000007</v>
      </c>
    </row>
    <row r="573" spans="1:18" ht="27" x14ac:dyDescent="0.25">
      <c r="A573" s="64"/>
      <c r="B573" s="64"/>
      <c r="C573" s="64"/>
      <c r="D573" s="64"/>
      <c r="E573" s="71" t="s">
        <v>563</v>
      </c>
      <c r="F573" s="64" t="s">
        <v>76</v>
      </c>
      <c r="G573" s="21">
        <f>SUM(H573:I573)</f>
        <v>4500</v>
      </c>
      <c r="H573" s="21">
        <v>4500</v>
      </c>
      <c r="I573" s="21"/>
      <c r="J573" s="146">
        <v>1102.7667984189723</v>
      </c>
      <c r="K573" s="146">
        <v>4500</v>
      </c>
      <c r="L573" s="146">
        <v>4500</v>
      </c>
      <c r="M573" s="146">
        <f>+G573</f>
        <v>4500</v>
      </c>
      <c r="Q573" s="154"/>
      <c r="R573" s="154"/>
    </row>
    <row r="574" spans="1:18" ht="51.75" customHeight="1" x14ac:dyDescent="0.25">
      <c r="A574" s="64"/>
      <c r="B574" s="64"/>
      <c r="C574" s="64"/>
      <c r="D574" s="64"/>
      <c r="E574" s="71" t="s">
        <v>178</v>
      </c>
      <c r="F574" s="64"/>
      <c r="G574" s="21"/>
      <c r="H574" s="21"/>
      <c r="I574" s="21"/>
      <c r="J574" s="21"/>
      <c r="K574" s="21"/>
      <c r="L574" s="21"/>
      <c r="M574" s="21"/>
    </row>
    <row r="575" spans="1:18" x14ac:dyDescent="0.25">
      <c r="A575" s="64">
        <v>2824</v>
      </c>
      <c r="B575" s="64" t="s">
        <v>13</v>
      </c>
      <c r="C575" s="64">
        <v>2</v>
      </c>
      <c r="D575" s="64">
        <v>4</v>
      </c>
      <c r="E575" s="71" t="s">
        <v>319</v>
      </c>
      <c r="F575" s="64"/>
      <c r="G575" s="21"/>
      <c r="H575" s="21"/>
      <c r="I575" s="21"/>
      <c r="J575" s="21"/>
      <c r="K575" s="21"/>
      <c r="L575" s="21"/>
      <c r="M575" s="21"/>
    </row>
    <row r="576" spans="1:18" ht="40.5" x14ac:dyDescent="0.25">
      <c r="A576" s="64"/>
      <c r="B576" s="64"/>
      <c r="C576" s="64"/>
      <c r="D576" s="64"/>
      <c r="E576" s="71" t="s">
        <v>177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/>
      <c r="B577" s="64"/>
      <c r="C577" s="64"/>
      <c r="D577" s="64"/>
      <c r="E577" s="71"/>
      <c r="F577" s="64"/>
      <c r="G577" s="21"/>
      <c r="H577" s="21"/>
      <c r="I577" s="21"/>
      <c r="J577" s="21"/>
      <c r="K577" s="21"/>
      <c r="L577" s="21"/>
      <c r="M577" s="21"/>
    </row>
    <row r="578" spans="1:13" x14ac:dyDescent="0.25">
      <c r="A578" s="64"/>
      <c r="B578" s="64"/>
      <c r="C578" s="64"/>
      <c r="D578" s="64"/>
      <c r="E578" s="71" t="s">
        <v>178</v>
      </c>
      <c r="F578" s="64"/>
      <c r="G578" s="21"/>
      <c r="H578" s="21"/>
      <c r="I578" s="21"/>
      <c r="J578" s="21"/>
      <c r="K578" s="21"/>
      <c r="L578" s="21"/>
      <c r="M578" s="21"/>
    </row>
    <row r="579" spans="1:13" ht="51" customHeight="1" x14ac:dyDescent="0.25">
      <c r="A579" s="64"/>
      <c r="B579" s="64"/>
      <c r="C579" s="64"/>
      <c r="D579" s="64"/>
      <c r="E579" s="71" t="s">
        <v>178</v>
      </c>
      <c r="F579" s="64"/>
      <c r="G579" s="21"/>
      <c r="H579" s="21"/>
      <c r="I579" s="21"/>
      <c r="J579" s="21"/>
      <c r="K579" s="21"/>
      <c r="L579" s="21"/>
      <c r="M579" s="21"/>
    </row>
    <row r="580" spans="1:13" x14ac:dyDescent="0.25">
      <c r="A580" s="64">
        <v>2825</v>
      </c>
      <c r="B580" s="64" t="s">
        <v>13</v>
      </c>
      <c r="C580" s="64">
        <v>2</v>
      </c>
      <c r="D580" s="64">
        <v>5</v>
      </c>
      <c r="E580" s="71" t="s">
        <v>320</v>
      </c>
      <c r="F580" s="64"/>
      <c r="G580" s="21"/>
      <c r="H580" s="21"/>
      <c r="I580" s="21"/>
      <c r="J580" s="21"/>
      <c r="K580" s="21"/>
      <c r="L580" s="21"/>
      <c r="M580" s="21"/>
    </row>
    <row r="581" spans="1:13" ht="40.5" x14ac:dyDescent="0.25">
      <c r="A581" s="64"/>
      <c r="B581" s="64"/>
      <c r="C581" s="64"/>
      <c r="D581" s="64"/>
      <c r="E581" s="71" t="s">
        <v>177</v>
      </c>
      <c r="F581" s="64"/>
      <c r="G581" s="21"/>
      <c r="H581" s="21"/>
      <c r="I581" s="21"/>
      <c r="J581" s="21"/>
      <c r="K581" s="21"/>
      <c r="L581" s="21"/>
      <c r="M581" s="21"/>
    </row>
    <row r="582" spans="1:13" x14ac:dyDescent="0.25">
      <c r="A582" s="64"/>
      <c r="B582" s="64"/>
      <c r="C582" s="64"/>
      <c r="D582" s="64"/>
      <c r="E582" s="71" t="s">
        <v>178</v>
      </c>
      <c r="F582" s="64"/>
      <c r="G582" s="21"/>
      <c r="H582" s="21"/>
      <c r="I582" s="21"/>
      <c r="J582" s="21"/>
      <c r="K582" s="21"/>
      <c r="L582" s="21"/>
      <c r="M582" s="21"/>
    </row>
    <row r="583" spans="1:13" ht="52.5" customHeight="1" x14ac:dyDescent="0.25">
      <c r="A583" s="64"/>
      <c r="B583" s="64"/>
      <c r="C583" s="64"/>
      <c r="D583" s="64"/>
      <c r="E583" s="71" t="s">
        <v>178</v>
      </c>
      <c r="F583" s="64"/>
      <c r="G583" s="21"/>
      <c r="H583" s="21"/>
      <c r="I583" s="21"/>
      <c r="J583" s="21"/>
      <c r="K583" s="21"/>
      <c r="L583" s="21"/>
      <c r="M583" s="21"/>
    </row>
    <row r="584" spans="1:13" x14ac:dyDescent="0.25">
      <c r="A584" s="64">
        <v>2826</v>
      </c>
      <c r="B584" s="64" t="s">
        <v>13</v>
      </c>
      <c r="C584" s="64">
        <v>2</v>
      </c>
      <c r="D584" s="64">
        <v>6</v>
      </c>
      <c r="E584" s="71" t="s">
        <v>321</v>
      </c>
      <c r="F584" s="64"/>
      <c r="G584" s="21"/>
      <c r="H584" s="21"/>
      <c r="I584" s="21"/>
      <c r="J584" s="21"/>
      <c r="K584" s="21"/>
      <c r="L584" s="21"/>
      <c r="M584" s="21"/>
    </row>
    <row r="585" spans="1:13" ht="40.5" x14ac:dyDescent="0.25">
      <c r="A585" s="64"/>
      <c r="B585" s="64"/>
      <c r="C585" s="64"/>
      <c r="D585" s="64"/>
      <c r="E585" s="71" t="s">
        <v>177</v>
      </c>
      <c r="F585" s="64"/>
      <c r="G585" s="21"/>
      <c r="H585" s="21"/>
      <c r="I585" s="21"/>
      <c r="J585" s="21"/>
      <c r="K585" s="21"/>
      <c r="L585" s="21"/>
      <c r="M585" s="21"/>
    </row>
    <row r="586" spans="1:13" ht="38.25" customHeight="1" x14ac:dyDescent="0.25">
      <c r="A586" s="64"/>
      <c r="B586" s="64"/>
      <c r="C586" s="64"/>
      <c r="D586" s="64"/>
      <c r="E586" s="71" t="s">
        <v>178</v>
      </c>
      <c r="F586" s="64"/>
      <c r="G586" s="21"/>
      <c r="H586" s="21"/>
      <c r="I586" s="21"/>
      <c r="J586" s="21"/>
      <c r="K586" s="21"/>
      <c r="L586" s="21"/>
      <c r="M586" s="21"/>
    </row>
    <row r="587" spans="1:13" ht="55.5" customHeight="1" x14ac:dyDescent="0.25">
      <c r="A587" s="64"/>
      <c r="B587" s="64"/>
      <c r="C587" s="64"/>
      <c r="D587" s="64"/>
      <c r="E587" s="71" t="s">
        <v>178</v>
      </c>
      <c r="F587" s="64"/>
      <c r="G587" s="21"/>
      <c r="H587" s="21"/>
      <c r="I587" s="21"/>
      <c r="J587" s="21"/>
      <c r="K587" s="21"/>
      <c r="L587" s="21"/>
      <c r="M587" s="21"/>
    </row>
    <row r="588" spans="1:13" ht="27" x14ac:dyDescent="0.25">
      <c r="A588" s="64">
        <v>2827</v>
      </c>
      <c r="B588" s="64" t="s">
        <v>13</v>
      </c>
      <c r="C588" s="64">
        <v>2</v>
      </c>
      <c r="D588" s="64">
        <v>7</v>
      </c>
      <c r="E588" s="71" t="s">
        <v>322</v>
      </c>
      <c r="F588" s="64"/>
      <c r="G588" s="21">
        <f t="shared" ref="G588:M588" si="64">G590+G592+G593+G594+G591</f>
        <v>16500</v>
      </c>
      <c r="H588" s="21">
        <f t="shared" si="64"/>
        <v>6000</v>
      </c>
      <c r="I588" s="21">
        <f t="shared" si="64"/>
        <v>10500</v>
      </c>
      <c r="J588" s="21">
        <f t="shared" si="64"/>
        <v>4043.478260869565</v>
      </c>
      <c r="K588" s="21">
        <f t="shared" si="64"/>
        <v>8021.739130434783</v>
      </c>
      <c r="L588" s="21">
        <f t="shared" si="64"/>
        <v>12260.869565217392</v>
      </c>
      <c r="M588" s="21">
        <f t="shared" si="64"/>
        <v>16500</v>
      </c>
    </row>
    <row r="589" spans="1:13" ht="40.5" x14ac:dyDescent="0.25">
      <c r="A589" s="64"/>
      <c r="B589" s="64"/>
      <c r="C589" s="64"/>
      <c r="D589" s="64"/>
      <c r="E589" s="71" t="s">
        <v>177</v>
      </c>
      <c r="F589" s="64"/>
      <c r="G589" s="21"/>
      <c r="H589" s="21"/>
      <c r="I589" s="21"/>
      <c r="J589" s="21"/>
      <c r="K589" s="21"/>
      <c r="L589" s="21"/>
      <c r="M589" s="21"/>
    </row>
    <row r="590" spans="1:13" x14ac:dyDescent="0.25">
      <c r="A590" s="64"/>
      <c r="B590" s="64"/>
      <c r="C590" s="64"/>
      <c r="D590" s="64"/>
      <c r="E590" s="212" t="s">
        <v>828</v>
      </c>
      <c r="F590" s="225">
        <v>5411</v>
      </c>
      <c r="G590" s="21">
        <v>0</v>
      </c>
      <c r="H590" s="21"/>
      <c r="I590" s="21"/>
      <c r="J590" s="84"/>
      <c r="K590" s="84"/>
      <c r="L590" s="84"/>
      <c r="M590" s="84"/>
    </row>
    <row r="591" spans="1:13" x14ac:dyDescent="0.25">
      <c r="A591" s="64"/>
      <c r="B591" s="64"/>
      <c r="C591" s="64"/>
      <c r="D591" s="64"/>
      <c r="E591" s="71" t="s">
        <v>585</v>
      </c>
      <c r="F591" s="64">
        <v>4251</v>
      </c>
      <c r="G591" s="21">
        <f t="shared" ref="G591:G593" si="65">SUM(H591:I591)</f>
        <v>3000</v>
      </c>
      <c r="H591" s="21">
        <v>3000</v>
      </c>
      <c r="I591" s="21"/>
      <c r="J591" s="146">
        <f>+G591/253*62</f>
        <v>735.17786561264825</v>
      </c>
      <c r="K591" s="146">
        <f>+G591/253*123</f>
        <v>1458.4980237154152</v>
      </c>
      <c r="L591" s="146">
        <f>+G591/253*188</f>
        <v>2229.2490118577075</v>
      </c>
      <c r="M591" s="146">
        <f>+G591</f>
        <v>3000</v>
      </c>
    </row>
    <row r="592" spans="1:13" ht="36.75" customHeight="1" x14ac:dyDescent="0.25">
      <c r="A592" s="64"/>
      <c r="B592" s="64"/>
      <c r="C592" s="64"/>
      <c r="D592" s="64"/>
      <c r="E592" s="71" t="s">
        <v>584</v>
      </c>
      <c r="F592" s="64">
        <v>4269</v>
      </c>
      <c r="G592" s="21">
        <f t="shared" si="65"/>
        <v>3000</v>
      </c>
      <c r="H592" s="21">
        <v>3000</v>
      </c>
      <c r="I592" s="21"/>
      <c r="J592" s="146">
        <f>+G592/253*62</f>
        <v>735.17786561264825</v>
      </c>
      <c r="K592" s="146">
        <f>+G592/253*123</f>
        <v>1458.4980237154152</v>
      </c>
      <c r="L592" s="146">
        <f>+G592/253*188</f>
        <v>2229.2490118577075</v>
      </c>
      <c r="M592" s="146">
        <f>+G592</f>
        <v>3000</v>
      </c>
    </row>
    <row r="593" spans="1:13" x14ac:dyDescent="0.25">
      <c r="A593" s="64"/>
      <c r="B593" s="64"/>
      <c r="C593" s="64"/>
      <c r="D593" s="64"/>
      <c r="E593" s="71" t="s">
        <v>597</v>
      </c>
      <c r="F593" s="64">
        <v>5112</v>
      </c>
      <c r="G593" s="21">
        <f t="shared" si="65"/>
        <v>8000</v>
      </c>
      <c r="H593" s="21"/>
      <c r="I593" s="21">
        <v>8000</v>
      </c>
      <c r="J593" s="146">
        <f>+G593/253*62</f>
        <v>1960.4743083003953</v>
      </c>
      <c r="K593" s="146">
        <f>+G593/253*123</f>
        <v>3889.3280632411065</v>
      </c>
      <c r="L593" s="146">
        <f>+G593/253*188</f>
        <v>5944.664031620553</v>
      </c>
      <c r="M593" s="146">
        <f>+G593</f>
        <v>8000</v>
      </c>
    </row>
    <row r="594" spans="1:13" ht="27" x14ac:dyDescent="0.25">
      <c r="A594" s="64"/>
      <c r="B594" s="64"/>
      <c r="C594" s="64"/>
      <c r="D594" s="64"/>
      <c r="E594" s="71" t="s">
        <v>583</v>
      </c>
      <c r="F594" s="64">
        <v>5113</v>
      </c>
      <c r="G594" s="21">
        <f>SUM(H594:I594)</f>
        <v>2500</v>
      </c>
      <c r="H594" s="21"/>
      <c r="I594" s="21">
        <v>2500</v>
      </c>
      <c r="J594" s="146">
        <f>+G594/253*62</f>
        <v>612.6482213438735</v>
      </c>
      <c r="K594" s="146">
        <f>+G594/253*123</f>
        <v>1215.4150197628458</v>
      </c>
      <c r="L594" s="146">
        <f>+G594/253*188</f>
        <v>1857.707509881423</v>
      </c>
      <c r="M594" s="146">
        <f>+G594</f>
        <v>2500</v>
      </c>
    </row>
    <row r="595" spans="1:13" ht="58.5" customHeight="1" x14ac:dyDescent="0.25">
      <c r="A595" s="64"/>
      <c r="B595" s="64"/>
      <c r="C595" s="64"/>
      <c r="D595" s="64"/>
      <c r="E595" s="71"/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>
        <v>2830</v>
      </c>
      <c r="B596" s="64" t="s">
        <v>13</v>
      </c>
      <c r="C596" s="64">
        <v>3</v>
      </c>
      <c r="D596" s="64">
        <v>0</v>
      </c>
      <c r="E596" s="75"/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>
        <v>2830</v>
      </c>
      <c r="B597" s="64" t="s">
        <v>13</v>
      </c>
      <c r="C597" s="64">
        <v>3</v>
      </c>
      <c r="D597" s="64">
        <v>0</v>
      </c>
      <c r="E597" s="71" t="s">
        <v>323</v>
      </c>
      <c r="F597" s="64"/>
      <c r="G597" s="21"/>
      <c r="H597" s="21"/>
      <c r="I597" s="21"/>
      <c r="J597" s="21"/>
      <c r="K597" s="21"/>
      <c r="L597" s="21"/>
      <c r="M597" s="21"/>
    </row>
    <row r="598" spans="1:13" ht="54" customHeight="1" x14ac:dyDescent="0.25">
      <c r="A598" s="64">
        <v>2831</v>
      </c>
      <c r="B598" s="64" t="s">
        <v>13</v>
      </c>
      <c r="C598" s="64">
        <v>3</v>
      </c>
      <c r="D598" s="64">
        <v>1</v>
      </c>
      <c r="E598" s="71" t="s">
        <v>156</v>
      </c>
      <c r="F598" s="64"/>
      <c r="G598" s="21"/>
      <c r="H598" s="21"/>
      <c r="I598" s="21"/>
      <c r="J598" s="21"/>
      <c r="K598" s="21"/>
      <c r="L598" s="21"/>
      <c r="M598" s="21"/>
    </row>
    <row r="599" spans="1:13" x14ac:dyDescent="0.25">
      <c r="A599" s="64"/>
      <c r="B599" s="64"/>
      <c r="C599" s="64"/>
      <c r="D599" s="64"/>
      <c r="E599" s="71" t="s">
        <v>324</v>
      </c>
      <c r="F599" s="64"/>
      <c r="G599" s="21"/>
      <c r="H599" s="21"/>
      <c r="I599" s="21"/>
      <c r="J599" s="21"/>
      <c r="K599" s="21"/>
      <c r="L599" s="21"/>
      <c r="M599" s="21"/>
    </row>
    <row r="600" spans="1:13" ht="40.5" x14ac:dyDescent="0.25">
      <c r="A600" s="64"/>
      <c r="B600" s="64"/>
      <c r="C600" s="64"/>
      <c r="D600" s="64"/>
      <c r="E600" s="71" t="s">
        <v>177</v>
      </c>
      <c r="F600" s="64"/>
      <c r="G600" s="21"/>
      <c r="H600" s="21"/>
      <c r="I600" s="21"/>
      <c r="J600" s="21"/>
      <c r="K600" s="21"/>
      <c r="L600" s="21"/>
      <c r="M600" s="21"/>
    </row>
    <row r="601" spans="1:13" x14ac:dyDescent="0.25">
      <c r="A601" s="64"/>
      <c r="B601" s="64"/>
      <c r="C601" s="64"/>
      <c r="D601" s="64"/>
      <c r="E601" s="71" t="s">
        <v>178</v>
      </c>
      <c r="F601" s="64"/>
      <c r="G601" s="21"/>
      <c r="H601" s="21"/>
      <c r="I601" s="21"/>
      <c r="J601" s="21"/>
      <c r="K601" s="21"/>
      <c r="L601" s="21"/>
      <c r="M601" s="21"/>
    </row>
    <row r="602" spans="1:13" ht="57.75" customHeight="1" x14ac:dyDescent="0.25">
      <c r="A602" s="64">
        <v>2832</v>
      </c>
      <c r="B602" s="64" t="s">
        <v>13</v>
      </c>
      <c r="C602" s="64">
        <v>3</v>
      </c>
      <c r="D602" s="64">
        <v>2</v>
      </c>
      <c r="E602" s="71" t="s">
        <v>178</v>
      </c>
      <c r="F602" s="64"/>
      <c r="G602" s="21"/>
      <c r="H602" s="21"/>
      <c r="I602" s="21"/>
      <c r="J602" s="21"/>
      <c r="K602" s="21"/>
      <c r="L602" s="21"/>
      <c r="M602" s="21"/>
    </row>
    <row r="603" spans="1:13" x14ac:dyDescent="0.25">
      <c r="A603" s="64"/>
      <c r="B603" s="64"/>
      <c r="C603" s="64"/>
      <c r="D603" s="64"/>
      <c r="E603" s="71" t="s">
        <v>325</v>
      </c>
      <c r="F603" s="64"/>
      <c r="G603" s="21"/>
      <c r="H603" s="21"/>
      <c r="I603" s="21"/>
      <c r="J603" s="21"/>
      <c r="K603" s="21"/>
      <c r="L603" s="21"/>
      <c r="M603" s="21"/>
    </row>
    <row r="604" spans="1:13" ht="40.5" x14ac:dyDescent="0.25">
      <c r="A604" s="64"/>
      <c r="B604" s="64"/>
      <c r="C604" s="64"/>
      <c r="D604" s="64"/>
      <c r="E604" s="71" t="s">
        <v>177</v>
      </c>
      <c r="F604" s="64"/>
      <c r="G604" s="21"/>
      <c r="H604" s="21"/>
      <c r="I604" s="21"/>
      <c r="J604" s="21"/>
      <c r="K604" s="21"/>
      <c r="L604" s="21"/>
      <c r="M604" s="21"/>
    </row>
    <row r="605" spans="1:13" x14ac:dyDescent="0.25">
      <c r="A605" s="64"/>
      <c r="B605" s="64"/>
      <c r="C605" s="64"/>
      <c r="D605" s="64"/>
      <c r="E605" s="71" t="s">
        <v>178</v>
      </c>
      <c r="F605" s="64"/>
      <c r="G605" s="21"/>
      <c r="H605" s="21"/>
      <c r="I605" s="21"/>
      <c r="J605" s="21"/>
      <c r="K605" s="21"/>
      <c r="L605" s="21"/>
      <c r="M605" s="21"/>
    </row>
    <row r="606" spans="1:13" ht="57" customHeight="1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178</v>
      </c>
      <c r="F606" s="64"/>
      <c r="G606" s="21"/>
      <c r="H606" s="21"/>
      <c r="I606" s="21"/>
      <c r="J606" s="21"/>
      <c r="K606" s="21"/>
      <c r="L606" s="21"/>
      <c r="M606" s="21"/>
    </row>
    <row r="607" spans="1:13" x14ac:dyDescent="0.25">
      <c r="A607" s="64">
        <v>2833</v>
      </c>
      <c r="B607" s="64" t="s">
        <v>13</v>
      </c>
      <c r="C607" s="64">
        <v>3</v>
      </c>
      <c r="D607" s="64">
        <v>3</v>
      </c>
      <c r="E607" s="71" t="s">
        <v>326</v>
      </c>
      <c r="F607" s="64"/>
      <c r="G607" s="21"/>
      <c r="H607" s="21"/>
      <c r="I607" s="21"/>
      <c r="J607" s="21"/>
      <c r="K607" s="21"/>
      <c r="L607" s="21"/>
      <c r="M607" s="21"/>
    </row>
    <row r="608" spans="1:13" ht="42" customHeight="1" x14ac:dyDescent="0.25">
      <c r="A608" s="64"/>
      <c r="B608" s="64"/>
      <c r="C608" s="64"/>
      <c r="D608" s="64"/>
      <c r="E608" s="71" t="s">
        <v>177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178</v>
      </c>
      <c r="F609" s="64"/>
      <c r="G609" s="21"/>
      <c r="H609" s="21"/>
      <c r="I609" s="21"/>
      <c r="J609" s="21"/>
      <c r="K609" s="21"/>
      <c r="L609" s="21"/>
      <c r="M609" s="21"/>
    </row>
    <row r="610" spans="1:13" x14ac:dyDescent="0.25">
      <c r="A610" s="64">
        <v>2840</v>
      </c>
      <c r="B610" s="64" t="s">
        <v>13</v>
      </c>
      <c r="C610" s="64">
        <v>4</v>
      </c>
      <c r="D610" s="64">
        <v>0</v>
      </c>
      <c r="E610" s="71" t="s">
        <v>327</v>
      </c>
      <c r="F610" s="64"/>
      <c r="G610" s="21">
        <f t="shared" ref="G610:M610" si="66">+G615</f>
        <v>15300</v>
      </c>
      <c r="H610" s="21">
        <f t="shared" si="66"/>
        <v>15300</v>
      </c>
      <c r="I610" s="21">
        <f t="shared" si="66"/>
        <v>0</v>
      </c>
      <c r="J610" s="21">
        <f t="shared" si="66"/>
        <v>7592.490118577075</v>
      </c>
      <c r="K610" s="21">
        <f t="shared" si="66"/>
        <v>9592.4901185770796</v>
      </c>
      <c r="L610" s="21">
        <f t="shared" si="66"/>
        <v>15300</v>
      </c>
      <c r="M610" s="21">
        <f t="shared" si="66"/>
        <v>15300</v>
      </c>
    </row>
    <row r="611" spans="1:13" ht="59.25" customHeight="1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156</v>
      </c>
      <c r="F611" s="64"/>
      <c r="G611" s="21"/>
      <c r="H611" s="21"/>
      <c r="I611" s="21"/>
      <c r="J611" s="21"/>
      <c r="K611" s="21"/>
      <c r="L611" s="21"/>
      <c r="M611" s="21"/>
    </row>
    <row r="612" spans="1:13" x14ac:dyDescent="0.25">
      <c r="A612" s="64"/>
      <c r="B612" s="64"/>
      <c r="C612" s="64"/>
      <c r="D612" s="64"/>
      <c r="E612" s="71" t="s">
        <v>328</v>
      </c>
      <c r="F612" s="64"/>
      <c r="G612" s="21"/>
      <c r="H612" s="21"/>
      <c r="I612" s="21"/>
      <c r="J612" s="21"/>
      <c r="K612" s="21"/>
      <c r="L612" s="21"/>
      <c r="M612" s="21"/>
    </row>
    <row r="613" spans="1:13" ht="53.25" customHeight="1" x14ac:dyDescent="0.25">
      <c r="A613" s="64"/>
      <c r="B613" s="64"/>
      <c r="C613" s="64"/>
      <c r="D613" s="64"/>
      <c r="E613" s="71" t="s">
        <v>177</v>
      </c>
      <c r="F613" s="64"/>
      <c r="G613" s="21"/>
      <c r="H613" s="21"/>
      <c r="I613" s="21"/>
      <c r="J613" s="21"/>
      <c r="K613" s="21"/>
      <c r="L613" s="21"/>
      <c r="M613" s="21"/>
    </row>
    <row r="614" spans="1:13" ht="45.75" customHeight="1" x14ac:dyDescent="0.25">
      <c r="A614" s="64"/>
      <c r="B614" s="64"/>
      <c r="C614" s="64"/>
      <c r="D614" s="64"/>
      <c r="E614" s="71" t="s">
        <v>178</v>
      </c>
      <c r="F614" s="64"/>
      <c r="G614" s="21"/>
      <c r="H614" s="21"/>
      <c r="I614" s="21"/>
      <c r="J614" s="21"/>
      <c r="K614" s="21"/>
      <c r="L614" s="21"/>
      <c r="M614" s="21"/>
    </row>
    <row r="615" spans="1:13" ht="40.5" x14ac:dyDescent="0.25">
      <c r="A615" s="64">
        <v>2842</v>
      </c>
      <c r="B615" s="64" t="s">
        <v>13</v>
      </c>
      <c r="C615" s="64">
        <v>4</v>
      </c>
      <c r="D615" s="64">
        <v>2</v>
      </c>
      <c r="E615" s="71" t="s">
        <v>329</v>
      </c>
      <c r="F615" s="64"/>
      <c r="G615" s="21">
        <f>+G616+G617</f>
        <v>15300</v>
      </c>
      <c r="H615" s="21">
        <f t="shared" ref="H615:M615" si="67">+H616+H617</f>
        <v>15300</v>
      </c>
      <c r="I615" s="21">
        <f t="shared" si="67"/>
        <v>0</v>
      </c>
      <c r="J615" s="21">
        <f t="shared" si="67"/>
        <v>7592.490118577075</v>
      </c>
      <c r="K615" s="21">
        <f t="shared" si="67"/>
        <v>9592.4901185770796</v>
      </c>
      <c r="L615" s="21">
        <f t="shared" si="67"/>
        <v>15300</v>
      </c>
      <c r="M615" s="21">
        <f t="shared" si="67"/>
        <v>15300</v>
      </c>
    </row>
    <row r="616" spans="1:13" ht="27" x14ac:dyDescent="0.25">
      <c r="A616" s="64"/>
      <c r="B616" s="64"/>
      <c r="C616" s="64"/>
      <c r="D616" s="64"/>
      <c r="E616" s="71" t="s">
        <v>752</v>
      </c>
      <c r="F616" s="64">
        <v>4819</v>
      </c>
      <c r="G616" s="21">
        <f>SUM(H616:I616)</f>
        <v>15300</v>
      </c>
      <c r="H616" s="21">
        <v>15300</v>
      </c>
      <c r="I616" s="21"/>
      <c r="J616" s="146">
        <v>7592.490118577075</v>
      </c>
      <c r="K616" s="146">
        <v>9592.4901185770796</v>
      </c>
      <c r="L616" s="146">
        <v>15300</v>
      </c>
      <c r="M616" s="146">
        <f>+G616</f>
        <v>15300</v>
      </c>
    </row>
    <row r="617" spans="1:13" ht="40.5" x14ac:dyDescent="0.25">
      <c r="A617" s="64"/>
      <c r="B617" s="64"/>
      <c r="C617" s="64"/>
      <c r="D617" s="64"/>
      <c r="E617" s="71" t="s">
        <v>857</v>
      </c>
      <c r="F617" s="64" t="s">
        <v>67</v>
      </c>
      <c r="G617" s="21">
        <f t="shared" ref="G617" si="68">SUM(H617:I617)</f>
        <v>0</v>
      </c>
      <c r="H617" s="21"/>
      <c r="I617" s="21"/>
      <c r="J617" s="21"/>
      <c r="K617" s="21"/>
      <c r="L617" s="21"/>
      <c r="M617" s="21"/>
    </row>
    <row r="618" spans="1:13" ht="39" customHeight="1" x14ac:dyDescent="0.25">
      <c r="A618" s="64"/>
      <c r="B618" s="64"/>
      <c r="C618" s="64"/>
      <c r="D618" s="64"/>
      <c r="E618" s="71" t="s">
        <v>178</v>
      </c>
      <c r="F618" s="64"/>
      <c r="G618" s="21"/>
      <c r="H618" s="21"/>
      <c r="I618" s="21"/>
      <c r="J618" s="21"/>
      <c r="K618" s="21"/>
      <c r="L618" s="21"/>
      <c r="M618" s="21"/>
    </row>
    <row r="619" spans="1:13" ht="57" customHeight="1" x14ac:dyDescent="0.25">
      <c r="A619" s="64">
        <v>2843</v>
      </c>
      <c r="B619" s="64" t="s">
        <v>13</v>
      </c>
      <c r="C619" s="64">
        <v>4</v>
      </c>
      <c r="D619" s="64">
        <v>3</v>
      </c>
      <c r="E619" s="71" t="s">
        <v>178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/>
      <c r="B620" s="64"/>
      <c r="C620" s="64"/>
      <c r="D620" s="64"/>
      <c r="E620" s="71" t="s">
        <v>327</v>
      </c>
      <c r="F620" s="64"/>
      <c r="G620" s="21"/>
      <c r="H620" s="21"/>
      <c r="I620" s="21"/>
      <c r="J620" s="21"/>
      <c r="K620" s="21"/>
      <c r="L620" s="21"/>
      <c r="M620" s="21"/>
    </row>
    <row r="621" spans="1:13" ht="40.5" x14ac:dyDescent="0.25">
      <c r="A621" s="64"/>
      <c r="B621" s="64"/>
      <c r="C621" s="64"/>
      <c r="D621" s="64"/>
      <c r="E621" s="71" t="s">
        <v>177</v>
      </c>
      <c r="F621" s="64"/>
      <c r="G621" s="21"/>
      <c r="H621" s="21"/>
      <c r="I621" s="21"/>
      <c r="J621" s="21"/>
      <c r="K621" s="21"/>
      <c r="L621" s="21"/>
      <c r="M621" s="21"/>
    </row>
    <row r="622" spans="1:13" x14ac:dyDescent="0.25">
      <c r="A622" s="64"/>
      <c r="B622" s="64"/>
      <c r="C622" s="64"/>
      <c r="D622" s="64"/>
      <c r="E622" s="71" t="s">
        <v>178</v>
      </c>
      <c r="F622" s="64"/>
      <c r="G622" s="21"/>
      <c r="H622" s="21"/>
      <c r="I622" s="21"/>
      <c r="J622" s="21"/>
      <c r="K622" s="21"/>
      <c r="L622" s="21"/>
      <c r="M622" s="21"/>
    </row>
    <row r="623" spans="1:13" x14ac:dyDescent="0.25">
      <c r="A623" s="64">
        <v>2850</v>
      </c>
      <c r="B623" s="64" t="s">
        <v>13</v>
      </c>
      <c r="C623" s="64">
        <v>5</v>
      </c>
      <c r="D623" s="64">
        <v>0</v>
      </c>
      <c r="E623" s="71" t="s">
        <v>178</v>
      </c>
      <c r="F623" s="64"/>
      <c r="G623" s="21"/>
      <c r="H623" s="21"/>
      <c r="I623" s="21"/>
      <c r="J623" s="21"/>
      <c r="K623" s="21"/>
      <c r="L623" s="21"/>
      <c r="M623" s="21"/>
    </row>
    <row r="624" spans="1:13" ht="27" x14ac:dyDescent="0.25">
      <c r="A624" s="64"/>
      <c r="B624" s="64"/>
      <c r="C624" s="64"/>
      <c r="D624" s="64"/>
      <c r="E624" s="74" t="s">
        <v>330</v>
      </c>
      <c r="F624" s="64"/>
      <c r="G624" s="21"/>
      <c r="H624" s="21"/>
      <c r="I624" s="21"/>
      <c r="J624" s="21"/>
      <c r="K624" s="21"/>
      <c r="L624" s="21"/>
      <c r="M624" s="21"/>
    </row>
    <row r="625" spans="1:13" ht="58.5" customHeight="1" x14ac:dyDescent="0.25">
      <c r="A625" s="64">
        <v>2851</v>
      </c>
      <c r="B625" s="64" t="s">
        <v>13</v>
      </c>
      <c r="C625" s="64">
        <v>5</v>
      </c>
      <c r="D625" s="64">
        <v>1</v>
      </c>
      <c r="E625" s="71" t="s">
        <v>156</v>
      </c>
      <c r="F625" s="64"/>
      <c r="G625" s="21"/>
      <c r="H625" s="21"/>
      <c r="I625" s="21"/>
      <c r="J625" s="21"/>
      <c r="K625" s="21"/>
      <c r="L625" s="21"/>
      <c r="M625" s="21"/>
    </row>
    <row r="626" spans="1:13" ht="27" x14ac:dyDescent="0.25">
      <c r="A626" s="64"/>
      <c r="B626" s="64"/>
      <c r="C626" s="64"/>
      <c r="D626" s="64"/>
      <c r="E626" s="74" t="s">
        <v>330</v>
      </c>
      <c r="F626" s="64"/>
      <c r="G626" s="21"/>
      <c r="H626" s="21"/>
      <c r="I626" s="21"/>
      <c r="J626" s="21"/>
      <c r="K626" s="21"/>
      <c r="L626" s="21"/>
      <c r="M626" s="21"/>
    </row>
    <row r="627" spans="1:13" ht="40.5" x14ac:dyDescent="0.25">
      <c r="A627" s="64"/>
      <c r="B627" s="64"/>
      <c r="C627" s="64"/>
      <c r="D627" s="64"/>
      <c r="E627" s="71" t="s">
        <v>177</v>
      </c>
      <c r="F627" s="64"/>
      <c r="G627" s="21"/>
      <c r="H627" s="21"/>
      <c r="I627" s="21"/>
      <c r="J627" s="21"/>
      <c r="K627" s="21"/>
      <c r="L627" s="21"/>
      <c r="M627" s="21"/>
    </row>
    <row r="628" spans="1:13" ht="35.25" customHeight="1" x14ac:dyDescent="0.25">
      <c r="A628" s="64"/>
      <c r="B628" s="64"/>
      <c r="C628" s="64"/>
      <c r="D628" s="64"/>
      <c r="E628" s="71" t="s">
        <v>178</v>
      </c>
      <c r="F628" s="64"/>
      <c r="G628" s="21"/>
      <c r="H628" s="21"/>
      <c r="I628" s="21"/>
      <c r="J628" s="21"/>
      <c r="K628" s="21"/>
      <c r="L628" s="21"/>
      <c r="M628" s="21"/>
    </row>
    <row r="629" spans="1:13" ht="39" customHeight="1" x14ac:dyDescent="0.25">
      <c r="A629" s="64"/>
      <c r="B629" s="64"/>
      <c r="C629" s="64"/>
      <c r="D629" s="64"/>
      <c r="E629" s="71"/>
      <c r="F629" s="64"/>
      <c r="G629" s="21"/>
      <c r="H629" s="21"/>
      <c r="I629" s="21"/>
      <c r="J629" s="21"/>
      <c r="K629" s="21"/>
      <c r="L629" s="21"/>
      <c r="M629" s="21"/>
    </row>
    <row r="630" spans="1:13" ht="27" x14ac:dyDescent="0.25">
      <c r="A630" s="64">
        <v>2860</v>
      </c>
      <c r="B630" s="64" t="s">
        <v>13</v>
      </c>
      <c r="C630" s="64">
        <v>6</v>
      </c>
      <c r="D630" s="64">
        <v>0</v>
      </c>
      <c r="E630" s="74" t="s">
        <v>331</v>
      </c>
      <c r="F630" s="64"/>
      <c r="G630" s="21">
        <f>G631</f>
        <v>36532.33</v>
      </c>
      <c r="H630" s="21">
        <f t="shared" ref="H630:M630" si="69">H631</f>
        <v>36532.33</v>
      </c>
      <c r="I630" s="21">
        <f t="shared" si="69"/>
        <v>0</v>
      </c>
      <c r="J630" s="21">
        <f t="shared" si="69"/>
        <v>10109.405098814228</v>
      </c>
      <c r="K630" s="21">
        <f t="shared" si="69"/>
        <v>18548.140276679842</v>
      </c>
      <c r="L630" s="21">
        <f t="shared" si="69"/>
        <v>27540.235138339922</v>
      </c>
      <c r="M630" s="21">
        <f t="shared" si="69"/>
        <v>36532.33</v>
      </c>
    </row>
    <row r="631" spans="1:13" ht="51.75" customHeight="1" x14ac:dyDescent="0.25">
      <c r="A631" s="64">
        <v>2861</v>
      </c>
      <c r="B631" s="64" t="s">
        <v>13</v>
      </c>
      <c r="C631" s="64">
        <v>6</v>
      </c>
      <c r="D631" s="64">
        <v>1</v>
      </c>
      <c r="E631" s="71" t="s">
        <v>582</v>
      </c>
      <c r="F631" s="64"/>
      <c r="G631" s="21">
        <f t="shared" ref="G631:M631" si="70">SUM(G634:G636)</f>
        <v>36532.33</v>
      </c>
      <c r="H631" s="21">
        <f t="shared" si="70"/>
        <v>36532.33</v>
      </c>
      <c r="I631" s="21">
        <f t="shared" si="70"/>
        <v>0</v>
      </c>
      <c r="J631" s="21">
        <f t="shared" si="70"/>
        <v>10109.405098814228</v>
      </c>
      <c r="K631" s="21">
        <f t="shared" si="70"/>
        <v>18548.140276679842</v>
      </c>
      <c r="L631" s="21">
        <f t="shared" si="70"/>
        <v>27540.235138339922</v>
      </c>
      <c r="M631" s="21">
        <f t="shared" si="70"/>
        <v>36532.33</v>
      </c>
    </row>
    <row r="632" spans="1:13" x14ac:dyDescent="0.25">
      <c r="A632" s="64"/>
      <c r="B632" s="64"/>
      <c r="C632" s="64"/>
      <c r="D632" s="64"/>
      <c r="E632" s="74"/>
      <c r="F632" s="64"/>
      <c r="G632" s="21"/>
      <c r="H632" s="21"/>
      <c r="I632" s="21"/>
      <c r="J632" s="21"/>
      <c r="K632" s="21"/>
      <c r="L632" s="21"/>
      <c r="M632" s="21"/>
    </row>
    <row r="633" spans="1:13" ht="40.5" x14ac:dyDescent="0.25">
      <c r="A633" s="64"/>
      <c r="B633" s="64"/>
      <c r="C633" s="64"/>
      <c r="D633" s="64"/>
      <c r="E633" s="71" t="s">
        <v>177</v>
      </c>
      <c r="F633" s="64"/>
      <c r="G633" s="21"/>
      <c r="H633" s="21"/>
      <c r="I633" s="21"/>
      <c r="J633" s="21"/>
      <c r="K633" s="21"/>
      <c r="L633" s="21"/>
      <c r="M633" s="21"/>
    </row>
    <row r="634" spans="1:13" ht="36" customHeight="1" x14ac:dyDescent="0.25">
      <c r="A634" s="64"/>
      <c r="B634" s="64"/>
      <c r="C634" s="64"/>
      <c r="D634" s="64"/>
      <c r="E634" s="71" t="s">
        <v>566</v>
      </c>
      <c r="F634" s="64">
        <v>4861</v>
      </c>
      <c r="G634" s="21">
        <f>SUM(H634:I634)</f>
        <v>36532.33</v>
      </c>
      <c r="H634" s="21">
        <v>36532.33</v>
      </c>
      <c r="I634" s="21"/>
      <c r="J634" s="146">
        <v>10109.405098814228</v>
      </c>
      <c r="K634" s="146">
        <v>18548.140276679842</v>
      </c>
      <c r="L634" s="146">
        <v>27540.235138339922</v>
      </c>
      <c r="M634" s="146">
        <f>+G634</f>
        <v>36532.33</v>
      </c>
    </row>
    <row r="635" spans="1:13" ht="27" x14ac:dyDescent="0.25">
      <c r="A635" s="64"/>
      <c r="B635" s="64"/>
      <c r="C635" s="64"/>
      <c r="D635" s="64"/>
      <c r="E635" s="71" t="s">
        <v>562</v>
      </c>
      <c r="F635" s="64">
        <v>4819</v>
      </c>
      <c r="G635" s="21">
        <v>0</v>
      </c>
      <c r="H635" s="21">
        <f>+G635</f>
        <v>0</v>
      </c>
      <c r="I635" s="21"/>
      <c r="J635" s="84"/>
      <c r="K635" s="84"/>
      <c r="L635" s="84"/>
      <c r="M635" s="84"/>
    </row>
    <row r="636" spans="1:13" ht="54.75" customHeight="1" x14ac:dyDescent="0.25">
      <c r="A636" s="64"/>
      <c r="B636" s="64"/>
      <c r="C636" s="64"/>
      <c r="D636" s="64"/>
      <c r="E636" s="73" t="s">
        <v>567</v>
      </c>
      <c r="F636" s="64">
        <v>4727</v>
      </c>
      <c r="G636" s="21">
        <v>0</v>
      </c>
      <c r="H636" s="21">
        <f>+G636</f>
        <v>0</v>
      </c>
      <c r="I636" s="21"/>
      <c r="J636" s="84"/>
      <c r="K636" s="84"/>
      <c r="L636" s="84"/>
      <c r="M636" s="84"/>
    </row>
    <row r="637" spans="1:13" x14ac:dyDescent="0.25">
      <c r="A637" s="64"/>
      <c r="B637" s="64"/>
      <c r="C637" s="64"/>
      <c r="D637" s="64"/>
      <c r="E637" s="71" t="s">
        <v>560</v>
      </c>
      <c r="F637" s="64">
        <v>4729</v>
      </c>
      <c r="G637" s="21">
        <v>0</v>
      </c>
      <c r="H637" s="21">
        <f>+G637</f>
        <v>0</v>
      </c>
      <c r="I637" s="21"/>
      <c r="J637" s="84"/>
      <c r="K637" s="84"/>
      <c r="L637" s="84"/>
      <c r="M637" s="84"/>
    </row>
    <row r="638" spans="1:13" ht="34.5" customHeight="1" x14ac:dyDescent="0.25">
      <c r="A638" s="64">
        <v>2900</v>
      </c>
      <c r="B638" s="64" t="s">
        <v>14</v>
      </c>
      <c r="C638" s="64">
        <v>0</v>
      </c>
      <c r="D638" s="64">
        <v>0</v>
      </c>
      <c r="E638" s="71" t="s">
        <v>332</v>
      </c>
      <c r="F638" s="64"/>
      <c r="G638" s="21">
        <f t="shared" ref="G638:M638" si="71">+G640+G650+G661+G671+G680+G690+G696+G702</f>
        <v>869203.71000000008</v>
      </c>
      <c r="H638" s="21">
        <f t="shared" si="71"/>
        <v>869203.71000000008</v>
      </c>
      <c r="I638" s="21">
        <f t="shared" si="71"/>
        <v>0</v>
      </c>
      <c r="J638" s="21">
        <f t="shared" si="71"/>
        <v>186122.56053754862</v>
      </c>
      <c r="K638" s="21">
        <f t="shared" si="71"/>
        <v>407738.20794466475</v>
      </c>
      <c r="L638" s="21">
        <f t="shared" si="71"/>
        <v>643765.91944663983</v>
      </c>
      <c r="M638" s="21">
        <f t="shared" si="71"/>
        <v>869203.71000000008</v>
      </c>
    </row>
    <row r="639" spans="1:13" x14ac:dyDescent="0.25">
      <c r="A639" s="64"/>
      <c r="B639" s="64"/>
      <c r="C639" s="64"/>
      <c r="D639" s="64"/>
      <c r="E639" s="71" t="s">
        <v>154</v>
      </c>
      <c r="F639" s="64"/>
      <c r="G639" s="21"/>
      <c r="H639" s="21"/>
      <c r="I639" s="21"/>
      <c r="J639" s="21"/>
      <c r="K639" s="21"/>
      <c r="L639" s="21"/>
      <c r="M639" s="21"/>
    </row>
    <row r="640" spans="1:13" ht="27" x14ac:dyDescent="0.25">
      <c r="A640" s="64">
        <v>2910</v>
      </c>
      <c r="B640" s="64" t="s">
        <v>14</v>
      </c>
      <c r="C640" s="64">
        <v>1</v>
      </c>
      <c r="D640" s="64">
        <v>0</v>
      </c>
      <c r="E640" s="71" t="s">
        <v>333</v>
      </c>
      <c r="F640" s="64"/>
      <c r="G640" s="21">
        <f t="shared" ref="G640:M640" si="72">+G642</f>
        <v>817401.95400000003</v>
      </c>
      <c r="H640" s="21">
        <f t="shared" si="72"/>
        <v>817401.95400000003</v>
      </c>
      <c r="I640" s="21">
        <f t="shared" si="72"/>
        <v>0</v>
      </c>
      <c r="J640" s="21">
        <f t="shared" si="72"/>
        <v>171577.31511857628</v>
      </c>
      <c r="K640" s="21">
        <f t="shared" si="72"/>
        <v>381294.2863715422</v>
      </c>
      <c r="L640" s="21">
        <f t="shared" si="72"/>
        <v>604643.08066007856</v>
      </c>
      <c r="M640" s="21">
        <f t="shared" si="72"/>
        <v>817401.95400000003</v>
      </c>
    </row>
    <row r="641" spans="1:13" ht="36.75" customHeight="1" x14ac:dyDescent="0.25">
      <c r="A641" s="64"/>
      <c r="B641" s="64"/>
      <c r="C641" s="64"/>
      <c r="D641" s="64"/>
      <c r="E641" s="71" t="s">
        <v>156</v>
      </c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>
        <v>2911</v>
      </c>
      <c r="B642" s="64" t="s">
        <v>14</v>
      </c>
      <c r="C642" s="64">
        <v>1</v>
      </c>
      <c r="D642" s="64">
        <v>1</v>
      </c>
      <c r="E642" s="71" t="s">
        <v>334</v>
      </c>
      <c r="F642" s="64"/>
      <c r="G642" s="21">
        <f>+G643</f>
        <v>817401.95400000003</v>
      </c>
      <c r="H642" s="21">
        <f t="shared" ref="H642:M642" si="73">+H643</f>
        <v>817401.95400000003</v>
      </c>
      <c r="I642" s="21">
        <f t="shared" si="73"/>
        <v>0</v>
      </c>
      <c r="J642" s="21">
        <f t="shared" si="73"/>
        <v>171577.31511857628</v>
      </c>
      <c r="K642" s="21">
        <f t="shared" si="73"/>
        <v>381294.2863715422</v>
      </c>
      <c r="L642" s="21">
        <f t="shared" si="73"/>
        <v>604643.08066007856</v>
      </c>
      <c r="M642" s="21">
        <f t="shared" si="73"/>
        <v>817401.95400000003</v>
      </c>
    </row>
    <row r="643" spans="1:13" x14ac:dyDescent="0.25">
      <c r="A643" s="64"/>
      <c r="B643" s="64"/>
      <c r="C643" s="64"/>
      <c r="D643" s="64"/>
      <c r="E643" s="71" t="s">
        <v>581</v>
      </c>
      <c r="F643" s="64">
        <v>4511</v>
      </c>
      <c r="G643" s="21">
        <f>SUM(H643:I643)</f>
        <v>817401.95400000003</v>
      </c>
      <c r="H643" s="21">
        <v>817401.95400000003</v>
      </c>
      <c r="I643" s="21"/>
      <c r="J643" s="146">
        <v>171577.31511857628</v>
      </c>
      <c r="K643" s="146">
        <v>381294.2863715422</v>
      </c>
      <c r="L643" s="146">
        <v>604643.08066007856</v>
      </c>
      <c r="M643" s="146">
        <f>+G643</f>
        <v>817401.95400000003</v>
      </c>
    </row>
    <row r="644" spans="1:13" x14ac:dyDescent="0.25">
      <c r="A644" s="64"/>
      <c r="B644" s="64"/>
      <c r="C644" s="64"/>
      <c r="D644" s="64"/>
      <c r="E644" s="71"/>
      <c r="F644" s="64"/>
      <c r="G644" s="21"/>
      <c r="H644" s="21"/>
      <c r="I644" s="21"/>
      <c r="J644" s="21"/>
      <c r="K644" s="21"/>
      <c r="L644" s="21"/>
      <c r="M644" s="21"/>
    </row>
    <row r="645" spans="1:13" x14ac:dyDescent="0.25">
      <c r="A645" s="64"/>
      <c r="B645" s="64"/>
      <c r="C645" s="64"/>
      <c r="D645" s="64"/>
      <c r="E645" s="71" t="s">
        <v>178</v>
      </c>
      <c r="F645" s="64"/>
      <c r="G645" s="21"/>
      <c r="H645" s="21"/>
      <c r="I645" s="21"/>
      <c r="J645" s="21"/>
      <c r="K645" s="21"/>
      <c r="L645" s="21"/>
      <c r="M645" s="21"/>
    </row>
    <row r="646" spans="1:13" ht="56.25" customHeight="1" x14ac:dyDescent="0.25">
      <c r="A646" s="64">
        <v>2912</v>
      </c>
      <c r="B646" s="64" t="s">
        <v>14</v>
      </c>
      <c r="C646" s="64">
        <v>1</v>
      </c>
      <c r="D646" s="64">
        <v>2</v>
      </c>
      <c r="E646" s="71" t="s">
        <v>178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/>
      <c r="B647" s="64"/>
      <c r="C647" s="64"/>
      <c r="D647" s="64"/>
      <c r="E647" s="71" t="s">
        <v>335</v>
      </c>
      <c r="F647" s="64"/>
      <c r="G647" s="21"/>
      <c r="H647" s="21"/>
      <c r="I647" s="21"/>
      <c r="J647" s="21"/>
      <c r="K647" s="21"/>
      <c r="L647" s="21"/>
      <c r="M647" s="21"/>
    </row>
    <row r="648" spans="1:13" ht="40.5" x14ac:dyDescent="0.25">
      <c r="A648" s="64"/>
      <c r="B648" s="64"/>
      <c r="C648" s="64"/>
      <c r="D648" s="64"/>
      <c r="E648" s="71" t="s">
        <v>177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/>
      <c r="B649" s="64"/>
      <c r="C649" s="64"/>
      <c r="D649" s="64"/>
      <c r="E649" s="71" t="s">
        <v>178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>
        <v>2920</v>
      </c>
      <c r="B650" s="64" t="s">
        <v>14</v>
      </c>
      <c r="C650" s="64">
        <v>2</v>
      </c>
      <c r="D650" s="64">
        <v>0</v>
      </c>
      <c r="E650" s="71" t="s">
        <v>178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336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>
        <v>2921</v>
      </c>
      <c r="B652" s="64" t="s">
        <v>14</v>
      </c>
      <c r="C652" s="64">
        <v>2</v>
      </c>
      <c r="D652" s="64">
        <v>1</v>
      </c>
      <c r="E652" s="71" t="s">
        <v>156</v>
      </c>
      <c r="F652" s="64"/>
      <c r="G652" s="21"/>
      <c r="H652" s="21"/>
      <c r="I652" s="21"/>
      <c r="J652" s="21"/>
      <c r="K652" s="21"/>
      <c r="L652" s="21"/>
      <c r="M652" s="21"/>
    </row>
    <row r="653" spans="1:13" x14ac:dyDescent="0.25">
      <c r="A653" s="64"/>
      <c r="B653" s="64"/>
      <c r="C653" s="64"/>
      <c r="D653" s="64"/>
      <c r="E653" s="71" t="s">
        <v>337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560</v>
      </c>
      <c r="F654" s="64"/>
      <c r="G654" s="21"/>
      <c r="H654" s="21"/>
      <c r="I654" s="21"/>
      <c r="J654" s="21"/>
      <c r="K654" s="21"/>
      <c r="L654" s="21"/>
      <c r="M654" s="21"/>
    </row>
    <row r="655" spans="1:13" x14ac:dyDescent="0.25">
      <c r="A655" s="64"/>
      <c r="B655" s="64"/>
      <c r="C655" s="64"/>
      <c r="D655" s="64"/>
      <c r="E655" s="71"/>
      <c r="F655" s="64"/>
      <c r="G655" s="21"/>
      <c r="H655" s="21"/>
      <c r="I655" s="21"/>
      <c r="J655" s="21"/>
      <c r="K655" s="21"/>
      <c r="L655" s="21"/>
      <c r="M655" s="21"/>
    </row>
    <row r="656" spans="1:13" ht="52.5" customHeight="1" x14ac:dyDescent="0.25">
      <c r="A656" s="64">
        <v>2922</v>
      </c>
      <c r="B656" s="64" t="s">
        <v>14</v>
      </c>
      <c r="C656" s="64">
        <v>2</v>
      </c>
      <c r="D656" s="64">
        <v>2</v>
      </c>
      <c r="E656" s="71" t="s">
        <v>178</v>
      </c>
      <c r="F656" s="64"/>
      <c r="G656" s="21"/>
      <c r="H656" s="21"/>
      <c r="I656" s="21"/>
      <c r="J656" s="21"/>
      <c r="K656" s="21"/>
      <c r="L656" s="21"/>
      <c r="M656" s="21"/>
    </row>
    <row r="657" spans="1:13" x14ac:dyDescent="0.25">
      <c r="A657" s="64"/>
      <c r="B657" s="64"/>
      <c r="C657" s="64"/>
      <c r="D657" s="64"/>
      <c r="E657" s="71" t="s">
        <v>338</v>
      </c>
      <c r="F657" s="64"/>
      <c r="G657" s="21"/>
      <c r="H657" s="21"/>
      <c r="I657" s="21"/>
      <c r="J657" s="21"/>
      <c r="K657" s="21"/>
      <c r="L657" s="21"/>
      <c r="M657" s="21"/>
    </row>
    <row r="658" spans="1:13" ht="40.5" x14ac:dyDescent="0.25">
      <c r="A658" s="64"/>
      <c r="B658" s="64"/>
      <c r="C658" s="64"/>
      <c r="D658" s="64"/>
      <c r="E658" s="71" t="s">
        <v>177</v>
      </c>
      <c r="F658" s="64"/>
      <c r="G658" s="21"/>
      <c r="H658" s="21"/>
      <c r="I658" s="21"/>
      <c r="J658" s="21"/>
      <c r="K658" s="21"/>
      <c r="L658" s="21"/>
      <c r="M658" s="21"/>
    </row>
    <row r="659" spans="1:13" x14ac:dyDescent="0.25">
      <c r="A659" s="64"/>
      <c r="B659" s="64"/>
      <c r="C659" s="64"/>
      <c r="D659" s="64"/>
      <c r="E659" s="71"/>
      <c r="F659" s="64"/>
      <c r="G659" s="21"/>
      <c r="H659" s="21"/>
      <c r="I659" s="21"/>
      <c r="J659" s="21"/>
      <c r="K659" s="21"/>
      <c r="L659" s="21"/>
      <c r="M659" s="21"/>
    </row>
    <row r="660" spans="1:13" ht="57" customHeight="1" x14ac:dyDescent="0.25">
      <c r="A660" s="64"/>
      <c r="B660" s="64"/>
      <c r="C660" s="64"/>
      <c r="D660" s="64"/>
      <c r="E660" s="71" t="s">
        <v>178</v>
      </c>
      <c r="F660" s="64"/>
      <c r="G660" s="21"/>
      <c r="H660" s="21"/>
      <c r="I660" s="21"/>
      <c r="J660" s="21"/>
      <c r="K660" s="21"/>
      <c r="L660" s="21"/>
      <c r="M660" s="21"/>
    </row>
    <row r="661" spans="1:13" x14ac:dyDescent="0.25">
      <c r="A661" s="64">
        <v>2930</v>
      </c>
      <c r="B661" s="64" t="s">
        <v>14</v>
      </c>
      <c r="C661" s="64">
        <v>3</v>
      </c>
      <c r="D661" s="64">
        <v>0</v>
      </c>
      <c r="E661" s="71" t="s">
        <v>178</v>
      </c>
      <c r="F661" s="64"/>
      <c r="G661" s="21"/>
      <c r="H661" s="21"/>
      <c r="I661" s="21"/>
      <c r="J661" s="21"/>
      <c r="K661" s="21"/>
      <c r="L661" s="21"/>
      <c r="M661" s="21"/>
    </row>
    <row r="662" spans="1:13" ht="35.25" customHeight="1" x14ac:dyDescent="0.25">
      <c r="A662" s="64"/>
      <c r="B662" s="64"/>
      <c r="C662" s="64"/>
      <c r="D662" s="64"/>
      <c r="E662" s="71" t="s">
        <v>339</v>
      </c>
      <c r="F662" s="64"/>
      <c r="G662" s="21"/>
      <c r="H662" s="21"/>
      <c r="I662" s="21"/>
      <c r="J662" s="21"/>
      <c r="K662" s="21"/>
      <c r="L662" s="21"/>
      <c r="M662" s="21"/>
    </row>
    <row r="663" spans="1:13" ht="55.5" customHeight="1" x14ac:dyDescent="0.25">
      <c r="A663" s="64">
        <v>2931</v>
      </c>
      <c r="B663" s="64" t="s">
        <v>14</v>
      </c>
      <c r="C663" s="64">
        <v>3</v>
      </c>
      <c r="D663" s="64">
        <v>1</v>
      </c>
      <c r="E663" s="71" t="s">
        <v>156</v>
      </c>
      <c r="F663" s="64"/>
      <c r="G663" s="21"/>
      <c r="H663" s="21"/>
      <c r="I663" s="21"/>
      <c r="J663" s="21"/>
      <c r="K663" s="21"/>
      <c r="L663" s="21"/>
      <c r="M663" s="21"/>
    </row>
    <row r="664" spans="1:13" ht="27" x14ac:dyDescent="0.25">
      <c r="A664" s="64"/>
      <c r="B664" s="64"/>
      <c r="C664" s="64"/>
      <c r="D664" s="64"/>
      <c r="E664" s="71" t="s">
        <v>580</v>
      </c>
      <c r="F664" s="64"/>
      <c r="G664" s="21"/>
      <c r="H664" s="21"/>
      <c r="I664" s="21"/>
      <c r="J664" s="21"/>
      <c r="K664" s="21"/>
      <c r="L664" s="21"/>
      <c r="M664" s="21"/>
    </row>
    <row r="665" spans="1:13" ht="40.5" x14ac:dyDescent="0.25">
      <c r="A665" s="64"/>
      <c r="B665" s="64"/>
      <c r="C665" s="64"/>
      <c r="D665" s="64"/>
      <c r="E665" s="71" t="s">
        <v>177</v>
      </c>
      <c r="F665" s="64"/>
      <c r="G665" s="21"/>
      <c r="H665" s="21"/>
      <c r="I665" s="21"/>
      <c r="J665" s="21"/>
      <c r="K665" s="21"/>
      <c r="L665" s="21"/>
      <c r="M665" s="21"/>
    </row>
    <row r="666" spans="1:13" x14ac:dyDescent="0.25">
      <c r="A666" s="64"/>
      <c r="B666" s="64"/>
      <c r="C666" s="64"/>
      <c r="D666" s="64"/>
      <c r="E666" s="71" t="s">
        <v>178</v>
      </c>
      <c r="F666" s="64"/>
      <c r="G666" s="21"/>
      <c r="H666" s="21"/>
      <c r="I666" s="21"/>
      <c r="J666" s="21"/>
      <c r="K666" s="21"/>
      <c r="L666" s="21"/>
      <c r="M666" s="21"/>
    </row>
    <row r="667" spans="1:13" ht="57.75" customHeight="1" x14ac:dyDescent="0.25">
      <c r="A667" s="64">
        <v>2932</v>
      </c>
      <c r="B667" s="64" t="s">
        <v>14</v>
      </c>
      <c r="C667" s="64">
        <v>3</v>
      </c>
      <c r="D667" s="64">
        <v>2</v>
      </c>
      <c r="E667" s="71" t="s">
        <v>178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/>
      <c r="B668" s="64"/>
      <c r="C668" s="64"/>
      <c r="D668" s="64"/>
      <c r="E668" s="71" t="s">
        <v>341</v>
      </c>
      <c r="F668" s="64"/>
      <c r="G668" s="21"/>
      <c r="H668" s="21"/>
      <c r="I668" s="21"/>
      <c r="J668" s="21"/>
      <c r="K668" s="21"/>
      <c r="L668" s="21"/>
      <c r="M668" s="21"/>
    </row>
    <row r="669" spans="1:13" ht="40.5" x14ac:dyDescent="0.25">
      <c r="A669" s="64"/>
      <c r="B669" s="64"/>
      <c r="C669" s="64"/>
      <c r="D669" s="64"/>
      <c r="E669" s="71" t="s">
        <v>177</v>
      </c>
      <c r="F669" s="64"/>
      <c r="G669" s="21"/>
      <c r="H669" s="21"/>
      <c r="I669" s="21"/>
      <c r="J669" s="21"/>
      <c r="K669" s="21"/>
      <c r="L669" s="21"/>
      <c r="M669" s="21"/>
    </row>
    <row r="670" spans="1:13" x14ac:dyDescent="0.25">
      <c r="A670" s="64"/>
      <c r="B670" s="64"/>
      <c r="C670" s="64"/>
      <c r="D670" s="64"/>
      <c r="E670" s="71" t="s">
        <v>178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>
        <v>2940</v>
      </c>
      <c r="B671" s="64" t="s">
        <v>14</v>
      </c>
      <c r="C671" s="64">
        <v>4</v>
      </c>
      <c r="D671" s="64">
        <v>0</v>
      </c>
      <c r="E671" s="71" t="s">
        <v>178</v>
      </c>
      <c r="F671" s="64"/>
      <c r="G671" s="21"/>
      <c r="H671" s="21"/>
      <c r="I671" s="21"/>
      <c r="J671" s="21"/>
      <c r="K671" s="21"/>
      <c r="L671" s="21"/>
      <c r="M671" s="21"/>
    </row>
    <row r="672" spans="1:13" x14ac:dyDescent="0.25">
      <c r="A672" s="64"/>
      <c r="B672" s="64"/>
      <c r="C672" s="64"/>
      <c r="D672" s="64"/>
      <c r="E672" s="71" t="s">
        <v>342</v>
      </c>
      <c r="F672" s="64"/>
      <c r="G672" s="21"/>
      <c r="H672" s="21"/>
      <c r="I672" s="21"/>
      <c r="J672" s="21"/>
      <c r="K672" s="21"/>
      <c r="L672" s="21"/>
      <c r="M672" s="21"/>
    </row>
    <row r="673" spans="1:13" ht="54" customHeight="1" x14ac:dyDescent="0.25">
      <c r="A673" s="64">
        <v>2941</v>
      </c>
      <c r="B673" s="64" t="s">
        <v>14</v>
      </c>
      <c r="C673" s="64">
        <v>4</v>
      </c>
      <c r="D673" s="64">
        <v>1</v>
      </c>
      <c r="E673" s="71" t="s">
        <v>156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/>
      <c r="B674" s="64"/>
      <c r="C674" s="64"/>
      <c r="D674" s="64"/>
      <c r="E674" s="71" t="s">
        <v>343</v>
      </c>
      <c r="F674" s="64"/>
      <c r="G674" s="21"/>
      <c r="H674" s="21"/>
      <c r="I674" s="21"/>
      <c r="J674" s="21"/>
      <c r="K674" s="21"/>
      <c r="L674" s="21"/>
      <c r="M674" s="21"/>
    </row>
    <row r="675" spans="1:13" ht="40.5" x14ac:dyDescent="0.25">
      <c r="A675" s="64"/>
      <c r="B675" s="64"/>
      <c r="C675" s="64"/>
      <c r="D675" s="64"/>
      <c r="E675" s="71" t="s">
        <v>177</v>
      </c>
      <c r="F675" s="64"/>
      <c r="G675" s="21"/>
      <c r="H675" s="21"/>
      <c r="I675" s="21"/>
      <c r="J675" s="21"/>
      <c r="K675" s="21"/>
      <c r="L675" s="21"/>
      <c r="M675" s="21"/>
    </row>
    <row r="676" spans="1:13" ht="56.25" customHeight="1" x14ac:dyDescent="0.25">
      <c r="A676" s="64"/>
      <c r="B676" s="64"/>
      <c r="C676" s="64"/>
      <c r="D676" s="64"/>
      <c r="E676" s="71" t="s">
        <v>178</v>
      </c>
      <c r="F676" s="64"/>
      <c r="G676" s="21"/>
      <c r="H676" s="21"/>
      <c r="I676" s="21"/>
      <c r="J676" s="21"/>
      <c r="K676" s="21"/>
      <c r="L676" s="21"/>
      <c r="M676" s="21"/>
    </row>
    <row r="677" spans="1:13" x14ac:dyDescent="0.25">
      <c r="A677" s="64">
        <v>2942</v>
      </c>
      <c r="B677" s="64" t="s">
        <v>14</v>
      </c>
      <c r="C677" s="64">
        <v>4</v>
      </c>
      <c r="D677" s="64">
        <v>2</v>
      </c>
      <c r="E677" s="71" t="s">
        <v>344</v>
      </c>
      <c r="F677" s="64"/>
      <c r="G677" s="21"/>
      <c r="H677" s="21"/>
      <c r="I677" s="21"/>
      <c r="J677" s="21"/>
      <c r="K677" s="21"/>
      <c r="L677" s="21"/>
      <c r="M677" s="21"/>
    </row>
    <row r="678" spans="1:13" ht="41.25" customHeight="1" x14ac:dyDescent="0.25">
      <c r="A678" s="64"/>
      <c r="B678" s="64"/>
      <c r="C678" s="64"/>
      <c r="D678" s="64"/>
      <c r="E678" s="71" t="s">
        <v>177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/>
      <c r="B679" s="64"/>
      <c r="C679" s="64"/>
      <c r="D679" s="64"/>
      <c r="E679" s="71" t="s">
        <v>178</v>
      </c>
      <c r="F679" s="64"/>
      <c r="G679" s="21"/>
      <c r="H679" s="21"/>
      <c r="I679" s="21"/>
      <c r="J679" s="21"/>
      <c r="K679" s="21"/>
      <c r="L679" s="21"/>
      <c r="M679" s="21"/>
    </row>
    <row r="680" spans="1:13" ht="27" x14ac:dyDescent="0.25">
      <c r="A680" s="64">
        <v>2950</v>
      </c>
      <c r="B680" s="64" t="s">
        <v>14</v>
      </c>
      <c r="C680" s="64">
        <v>5</v>
      </c>
      <c r="D680" s="64">
        <v>0</v>
      </c>
      <c r="E680" s="71" t="s">
        <v>349</v>
      </c>
      <c r="F680" s="64"/>
      <c r="G680" s="21"/>
      <c r="H680" s="21"/>
      <c r="I680" s="21"/>
      <c r="J680" s="21"/>
      <c r="K680" s="21"/>
      <c r="L680" s="21"/>
      <c r="M680" s="21"/>
    </row>
    <row r="681" spans="1:13" ht="62.25" customHeight="1" x14ac:dyDescent="0.25">
      <c r="A681" s="64"/>
      <c r="B681" s="64"/>
      <c r="C681" s="64"/>
      <c r="D681" s="64"/>
      <c r="E681" s="71" t="s">
        <v>156</v>
      </c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>
        <v>2951</v>
      </c>
      <c r="B682" s="64" t="s">
        <v>14</v>
      </c>
      <c r="C682" s="64">
        <v>5</v>
      </c>
      <c r="D682" s="64">
        <v>1</v>
      </c>
      <c r="E682" s="71" t="s">
        <v>346</v>
      </c>
      <c r="F682" s="64"/>
      <c r="G682" s="21"/>
      <c r="H682" s="21"/>
      <c r="I682" s="21"/>
      <c r="J682" s="21"/>
      <c r="K682" s="21"/>
      <c r="L682" s="21"/>
      <c r="M682" s="21"/>
    </row>
    <row r="683" spans="1:13" ht="40.5" x14ac:dyDescent="0.25">
      <c r="A683" s="64"/>
      <c r="B683" s="64"/>
      <c r="C683" s="64"/>
      <c r="D683" s="64"/>
      <c r="E683" s="71" t="s">
        <v>177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/>
      <c r="F684" s="64"/>
      <c r="G684" s="21"/>
      <c r="H684" s="21"/>
      <c r="I684" s="21"/>
      <c r="J684" s="21"/>
      <c r="K684" s="21"/>
      <c r="L684" s="21"/>
      <c r="M684" s="21"/>
    </row>
    <row r="685" spans="1:13" x14ac:dyDescent="0.25">
      <c r="A685" s="64"/>
      <c r="B685" s="64"/>
      <c r="C685" s="64"/>
      <c r="D685" s="64"/>
      <c r="E685" s="71" t="s">
        <v>178</v>
      </c>
      <c r="F685" s="64"/>
      <c r="G685" s="21"/>
      <c r="H685" s="21"/>
      <c r="I685" s="21"/>
      <c r="J685" s="21"/>
      <c r="K685" s="21"/>
      <c r="L685" s="21"/>
      <c r="M685" s="21"/>
    </row>
    <row r="686" spans="1:13" ht="59.25" customHeight="1" x14ac:dyDescent="0.25">
      <c r="A686" s="64">
        <v>2952</v>
      </c>
      <c r="B686" s="64" t="s">
        <v>14</v>
      </c>
      <c r="C686" s="64">
        <v>5</v>
      </c>
      <c r="D686" s="64">
        <v>2</v>
      </c>
      <c r="E686" s="71" t="s">
        <v>178</v>
      </c>
      <c r="F686" s="64"/>
      <c r="G686" s="21"/>
      <c r="H686" s="21"/>
      <c r="I686" s="21"/>
      <c r="J686" s="21"/>
      <c r="K686" s="21"/>
      <c r="L686" s="21"/>
      <c r="M686" s="21"/>
    </row>
    <row r="687" spans="1:13" x14ac:dyDescent="0.25">
      <c r="A687" s="64"/>
      <c r="B687" s="64"/>
      <c r="C687" s="64"/>
      <c r="D687" s="64"/>
      <c r="E687" s="71" t="s">
        <v>347</v>
      </c>
      <c r="F687" s="64"/>
      <c r="G687" s="21"/>
      <c r="H687" s="21"/>
      <c r="I687" s="21"/>
      <c r="J687" s="21"/>
      <c r="K687" s="21"/>
      <c r="L687" s="21"/>
      <c r="M687" s="21"/>
    </row>
    <row r="688" spans="1:13" ht="38.25" customHeight="1" x14ac:dyDescent="0.25">
      <c r="A688" s="64"/>
      <c r="B688" s="64"/>
      <c r="C688" s="64"/>
      <c r="D688" s="64"/>
      <c r="E688" s="71" t="s">
        <v>177</v>
      </c>
      <c r="F688" s="64"/>
      <c r="G688" s="21"/>
      <c r="H688" s="21"/>
      <c r="I688" s="21"/>
      <c r="J688" s="21"/>
      <c r="K688" s="21"/>
      <c r="L688" s="21"/>
      <c r="M688" s="21"/>
    </row>
    <row r="689" spans="1:13" x14ac:dyDescent="0.25">
      <c r="A689" s="64"/>
      <c r="B689" s="64"/>
      <c r="C689" s="64"/>
      <c r="D689" s="64"/>
      <c r="E689" s="71" t="s">
        <v>178</v>
      </c>
      <c r="F689" s="64"/>
      <c r="G689" s="21"/>
      <c r="H689" s="21"/>
      <c r="I689" s="21"/>
      <c r="J689" s="21"/>
      <c r="K689" s="21"/>
      <c r="L689" s="21"/>
      <c r="M689" s="21"/>
    </row>
    <row r="690" spans="1:13" ht="27" x14ac:dyDescent="0.25">
      <c r="A690" s="64">
        <v>2960</v>
      </c>
      <c r="B690" s="64" t="s">
        <v>14</v>
      </c>
      <c r="C690" s="64">
        <v>6</v>
      </c>
      <c r="D690" s="64">
        <v>0</v>
      </c>
      <c r="E690" s="71" t="s">
        <v>348</v>
      </c>
      <c r="F690" s="64"/>
      <c r="G690" s="21">
        <f t="shared" ref="G690:M690" si="74">G693</f>
        <v>51801.756000000001</v>
      </c>
      <c r="H690" s="21">
        <f t="shared" si="74"/>
        <v>51801.756000000001</v>
      </c>
      <c r="I690" s="21">
        <f t="shared" si="74"/>
        <v>0</v>
      </c>
      <c r="J690" s="21">
        <f t="shared" si="74"/>
        <v>14545.245418972332</v>
      </c>
      <c r="K690" s="21">
        <f t="shared" si="74"/>
        <v>26443.921573122534</v>
      </c>
      <c r="L690" s="21">
        <f t="shared" si="74"/>
        <v>39122.838786561268</v>
      </c>
      <c r="M690" s="21">
        <f t="shared" si="74"/>
        <v>51801.756000000001</v>
      </c>
    </row>
    <row r="691" spans="1:13" ht="38.25" customHeight="1" x14ac:dyDescent="0.25">
      <c r="A691" s="64"/>
      <c r="B691" s="64"/>
      <c r="C691" s="64"/>
      <c r="D691" s="64"/>
      <c r="E691" s="71" t="s">
        <v>156</v>
      </c>
      <c r="F691" s="64"/>
      <c r="G691" s="21"/>
      <c r="H691" s="21"/>
      <c r="I691" s="21"/>
      <c r="J691" s="21"/>
      <c r="K691" s="21"/>
      <c r="L691" s="21"/>
      <c r="M691" s="21"/>
    </row>
    <row r="692" spans="1:13" ht="56.25" customHeight="1" x14ac:dyDescent="0.25">
      <c r="A692" s="64"/>
      <c r="B692" s="64"/>
      <c r="C692" s="64"/>
      <c r="D692" s="64"/>
      <c r="E692" s="71" t="s">
        <v>187</v>
      </c>
      <c r="F692" s="64"/>
      <c r="G692" s="21"/>
      <c r="H692" s="21"/>
      <c r="I692" s="21"/>
      <c r="J692" s="21"/>
      <c r="K692" s="21"/>
      <c r="L692" s="21"/>
      <c r="M692" s="21"/>
    </row>
    <row r="693" spans="1:13" ht="40.5" customHeight="1" x14ac:dyDescent="0.25">
      <c r="A693" s="64">
        <v>2961</v>
      </c>
      <c r="B693" s="64" t="s">
        <v>14</v>
      </c>
      <c r="C693" s="64">
        <v>6</v>
      </c>
      <c r="D693" s="64">
        <v>1</v>
      </c>
      <c r="E693" s="71" t="s">
        <v>598</v>
      </c>
      <c r="F693" s="64">
        <v>4819</v>
      </c>
      <c r="G693" s="21">
        <f>SUM(H693:I693)</f>
        <v>51801.756000000001</v>
      </c>
      <c r="H693" s="21">
        <v>51801.756000000001</v>
      </c>
      <c r="I693" s="21"/>
      <c r="J693" s="146">
        <v>14545.245418972332</v>
      </c>
      <c r="K693" s="146">
        <v>26443.921573122534</v>
      </c>
      <c r="L693" s="146">
        <v>39122.838786561268</v>
      </c>
      <c r="M693" s="146">
        <f>+G693</f>
        <v>51801.756000000001</v>
      </c>
    </row>
    <row r="694" spans="1:13" ht="44.25" customHeight="1" x14ac:dyDescent="0.25">
      <c r="A694" s="64"/>
      <c r="B694" s="64"/>
      <c r="C694" s="64"/>
      <c r="D694" s="64"/>
      <c r="E694" s="71" t="s">
        <v>177</v>
      </c>
      <c r="F694" s="64"/>
      <c r="G694" s="21"/>
      <c r="H694" s="21"/>
      <c r="I694" s="21"/>
      <c r="J694" s="21"/>
      <c r="K694" s="21"/>
      <c r="L694" s="21"/>
      <c r="M694" s="21"/>
    </row>
    <row r="695" spans="1:13" x14ac:dyDescent="0.25">
      <c r="A695" s="64"/>
      <c r="B695" s="64"/>
      <c r="C695" s="64"/>
      <c r="D695" s="64"/>
      <c r="E695" s="71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2970</v>
      </c>
      <c r="B696" s="64" t="s">
        <v>14</v>
      </c>
      <c r="C696" s="64">
        <v>7</v>
      </c>
      <c r="D696" s="64">
        <v>0</v>
      </c>
      <c r="E696" s="71" t="s">
        <v>349</v>
      </c>
      <c r="F696" s="64"/>
      <c r="G696" s="21"/>
      <c r="H696" s="21"/>
      <c r="I696" s="21"/>
      <c r="J696" s="21"/>
      <c r="K696" s="21"/>
      <c r="L696" s="21"/>
      <c r="M696" s="21"/>
    </row>
    <row r="697" spans="1:13" ht="36.75" customHeight="1" x14ac:dyDescent="0.25">
      <c r="A697" s="64"/>
      <c r="B697" s="64"/>
      <c r="C697" s="64"/>
      <c r="D697" s="64"/>
      <c r="E697" s="71" t="s">
        <v>156</v>
      </c>
      <c r="F697" s="64"/>
      <c r="G697" s="21"/>
      <c r="H697" s="21"/>
      <c r="I697" s="21"/>
      <c r="J697" s="21"/>
      <c r="K697" s="21"/>
      <c r="L697" s="21"/>
      <c r="M697" s="21"/>
    </row>
    <row r="698" spans="1:13" ht="54" customHeight="1" x14ac:dyDescent="0.25">
      <c r="A698" s="64"/>
      <c r="B698" s="64"/>
      <c r="C698" s="64"/>
      <c r="D698" s="64"/>
      <c r="F698" s="64"/>
      <c r="G698" s="21"/>
      <c r="H698" s="21"/>
      <c r="I698" s="21"/>
      <c r="J698" s="21"/>
      <c r="K698" s="21"/>
      <c r="L698" s="21"/>
      <c r="M698" s="21"/>
    </row>
    <row r="699" spans="1:13" ht="27" x14ac:dyDescent="0.25">
      <c r="A699" s="64">
        <v>2971</v>
      </c>
      <c r="B699" s="64" t="s">
        <v>14</v>
      </c>
      <c r="C699" s="64">
        <v>7</v>
      </c>
      <c r="D699" s="64">
        <v>1</v>
      </c>
      <c r="E699" s="71" t="s">
        <v>349</v>
      </c>
      <c r="F699" s="64"/>
      <c r="G699" s="21"/>
      <c r="H699" s="21"/>
      <c r="I699" s="21"/>
      <c r="J699" s="21"/>
      <c r="K699" s="21"/>
      <c r="L699" s="21"/>
      <c r="M699" s="21"/>
    </row>
    <row r="700" spans="1:13" ht="40.5" x14ac:dyDescent="0.25">
      <c r="A700" s="64"/>
      <c r="B700" s="64"/>
      <c r="C700" s="64"/>
      <c r="D700" s="64"/>
      <c r="E700" s="71" t="s">
        <v>177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/>
      <c r="B701" s="64"/>
      <c r="C701" s="64"/>
      <c r="D701" s="64"/>
      <c r="E701" s="71" t="s">
        <v>178</v>
      </c>
      <c r="F701" s="64"/>
      <c r="G701" s="21"/>
      <c r="H701" s="21"/>
      <c r="I701" s="21"/>
      <c r="J701" s="21"/>
      <c r="K701" s="21"/>
      <c r="L701" s="21"/>
      <c r="M701" s="21"/>
    </row>
    <row r="702" spans="1:13" x14ac:dyDescent="0.25">
      <c r="A702" s="64">
        <v>2980</v>
      </c>
      <c r="B702" s="64" t="s">
        <v>14</v>
      </c>
      <c r="C702" s="64">
        <v>8</v>
      </c>
      <c r="D702" s="64">
        <v>0</v>
      </c>
      <c r="E702" s="71" t="s">
        <v>350</v>
      </c>
      <c r="F702" s="64"/>
      <c r="G702" s="21"/>
      <c r="H702" s="21"/>
      <c r="I702" s="21"/>
      <c r="J702" s="21"/>
      <c r="K702" s="21"/>
      <c r="L702" s="21"/>
      <c r="M702" s="21"/>
    </row>
    <row r="703" spans="1:13" ht="57.75" customHeight="1" x14ac:dyDescent="0.25">
      <c r="A703" s="64"/>
      <c r="B703" s="64"/>
      <c r="C703" s="64"/>
      <c r="D703" s="64"/>
      <c r="E703" s="71" t="s">
        <v>156</v>
      </c>
      <c r="F703" s="64"/>
      <c r="G703" s="21"/>
      <c r="H703" s="21"/>
      <c r="I703" s="21"/>
      <c r="J703" s="21"/>
      <c r="K703" s="21"/>
      <c r="L703" s="21"/>
      <c r="M703" s="21"/>
    </row>
    <row r="704" spans="1:13" x14ac:dyDescent="0.25">
      <c r="A704" s="64">
        <v>2981</v>
      </c>
      <c r="B704" s="64" t="s">
        <v>14</v>
      </c>
      <c r="C704" s="64">
        <v>8</v>
      </c>
      <c r="D704" s="64">
        <v>1</v>
      </c>
      <c r="E704" s="71" t="s">
        <v>350</v>
      </c>
      <c r="F704" s="64"/>
      <c r="G704" s="21"/>
      <c r="H704" s="21"/>
      <c r="I704" s="21"/>
      <c r="J704" s="21"/>
      <c r="K704" s="21"/>
      <c r="L704" s="21"/>
      <c r="M704" s="21"/>
    </row>
    <row r="705" spans="1:13" ht="40.5" x14ac:dyDescent="0.25">
      <c r="A705" s="64"/>
      <c r="B705" s="64"/>
      <c r="C705" s="64"/>
      <c r="D705" s="64"/>
      <c r="E705" s="71" t="s">
        <v>177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/>
      <c r="B706" s="64"/>
      <c r="C706" s="64"/>
      <c r="D706" s="64"/>
      <c r="E706" s="71" t="s">
        <v>178</v>
      </c>
      <c r="F706" s="64"/>
      <c r="G706" s="21"/>
      <c r="H706" s="21"/>
      <c r="I706" s="21"/>
      <c r="J706" s="21"/>
      <c r="K706" s="21"/>
      <c r="L706" s="21"/>
      <c r="M706" s="21"/>
    </row>
    <row r="707" spans="1:13" ht="40.5" x14ac:dyDescent="0.25">
      <c r="A707" s="64">
        <v>3000</v>
      </c>
      <c r="B707" s="64" t="s">
        <v>15</v>
      </c>
      <c r="C707" s="64">
        <v>0</v>
      </c>
      <c r="D707" s="64">
        <v>0</v>
      </c>
      <c r="E707" s="71" t="s">
        <v>351</v>
      </c>
      <c r="F707" s="64"/>
      <c r="G707" s="21">
        <f t="shared" ref="G707:M707" si="75">G708+G717+G722+G726+G732+G737+G744+G757</f>
        <v>70565</v>
      </c>
      <c r="H707" s="21">
        <f t="shared" si="75"/>
        <v>70565</v>
      </c>
      <c r="I707" s="21">
        <f t="shared" si="75"/>
        <v>0</v>
      </c>
      <c r="J707" s="21">
        <f t="shared" si="75"/>
        <v>16548.557312253295</v>
      </c>
      <c r="K707" s="21">
        <f t="shared" si="75"/>
        <v>35289.110671936927</v>
      </c>
      <c r="L707" s="21">
        <f t="shared" si="75"/>
        <v>50587.134387352278</v>
      </c>
      <c r="M707" s="21">
        <f t="shared" si="75"/>
        <v>70565</v>
      </c>
    </row>
    <row r="708" spans="1:13" x14ac:dyDescent="0.25">
      <c r="A708" s="64"/>
      <c r="B708" s="64"/>
      <c r="C708" s="64"/>
      <c r="D708" s="64"/>
      <c r="E708" s="71" t="s">
        <v>154</v>
      </c>
      <c r="F708" s="64"/>
      <c r="G708" s="21"/>
      <c r="H708" s="21"/>
      <c r="I708" s="21"/>
      <c r="J708" s="21"/>
      <c r="K708" s="21"/>
      <c r="L708" s="21"/>
      <c r="M708" s="21"/>
    </row>
    <row r="709" spans="1:13" x14ac:dyDescent="0.25">
      <c r="A709" s="64">
        <v>3010</v>
      </c>
      <c r="B709" s="64" t="s">
        <v>15</v>
      </c>
      <c r="C709" s="64">
        <v>1</v>
      </c>
      <c r="D709" s="64">
        <v>0</v>
      </c>
      <c r="E709" s="71" t="s">
        <v>352</v>
      </c>
      <c r="F709" s="64"/>
      <c r="G709" s="21"/>
      <c r="H709" s="21"/>
      <c r="I709" s="21"/>
      <c r="J709" s="21"/>
      <c r="K709" s="21"/>
      <c r="L709" s="21"/>
      <c r="M709" s="21"/>
    </row>
    <row r="710" spans="1:13" ht="55.5" customHeight="1" x14ac:dyDescent="0.25">
      <c r="A710" s="64"/>
      <c r="B710" s="64"/>
      <c r="C710" s="64"/>
      <c r="D710" s="64"/>
      <c r="E710" s="71" t="s">
        <v>156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>
        <v>3011</v>
      </c>
      <c r="B711" s="64" t="s">
        <v>15</v>
      </c>
      <c r="C711" s="64">
        <v>1</v>
      </c>
      <c r="D711" s="64">
        <v>1</v>
      </c>
      <c r="E711" s="71" t="s">
        <v>353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177</v>
      </c>
      <c r="F712" s="64"/>
      <c r="G712" s="21"/>
      <c r="H712" s="21"/>
      <c r="I712" s="21"/>
      <c r="J712" s="21"/>
      <c r="K712" s="21"/>
      <c r="L712" s="21"/>
      <c r="M712" s="21"/>
    </row>
    <row r="713" spans="1:13" ht="51.75" customHeight="1" x14ac:dyDescent="0.25">
      <c r="A713" s="64">
        <v>3012</v>
      </c>
      <c r="B713" s="64"/>
      <c r="C713" s="64"/>
      <c r="D713" s="64"/>
      <c r="E713" s="71" t="s">
        <v>178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/>
      <c r="B714" s="64" t="s">
        <v>15</v>
      </c>
      <c r="C714" s="64">
        <v>1</v>
      </c>
      <c r="D714" s="64">
        <v>2</v>
      </c>
      <c r="E714" s="71" t="s">
        <v>354</v>
      </c>
      <c r="F714" s="64"/>
      <c r="G714" s="21"/>
      <c r="H714" s="21"/>
      <c r="I714" s="21"/>
      <c r="J714" s="21"/>
      <c r="K714" s="21"/>
      <c r="L714" s="21"/>
      <c r="M714" s="21"/>
    </row>
    <row r="715" spans="1:13" ht="40.5" x14ac:dyDescent="0.25">
      <c r="A715" s="64"/>
      <c r="B715" s="64"/>
      <c r="C715" s="64"/>
      <c r="D715" s="64"/>
      <c r="E715" s="71" t="s">
        <v>177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/>
      <c r="B716" s="64"/>
      <c r="C716" s="64"/>
      <c r="D716" s="64"/>
      <c r="E716" s="71" t="s">
        <v>178</v>
      </c>
      <c r="F716" s="64"/>
      <c r="G716" s="21"/>
      <c r="H716" s="21"/>
      <c r="I716" s="21"/>
      <c r="J716" s="21"/>
      <c r="K716" s="21"/>
      <c r="L716" s="21"/>
      <c r="M716" s="21"/>
    </row>
    <row r="717" spans="1:13" x14ac:dyDescent="0.25">
      <c r="A717" s="64">
        <v>3020</v>
      </c>
      <c r="B717" s="64" t="s">
        <v>15</v>
      </c>
      <c r="C717" s="64">
        <v>2</v>
      </c>
      <c r="D717" s="64">
        <v>0</v>
      </c>
      <c r="E717" s="71" t="s">
        <v>355</v>
      </c>
      <c r="F717" s="64"/>
      <c r="G717" s="21"/>
      <c r="H717" s="21"/>
      <c r="I717" s="21"/>
      <c r="J717" s="21"/>
      <c r="K717" s="21"/>
      <c r="L717" s="21"/>
      <c r="M717" s="21"/>
    </row>
    <row r="718" spans="1:13" ht="57" customHeight="1" x14ac:dyDescent="0.25">
      <c r="A718" s="64"/>
      <c r="B718" s="64"/>
      <c r="C718" s="64"/>
      <c r="D718" s="64"/>
      <c r="E718" s="71" t="s">
        <v>156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3021</v>
      </c>
      <c r="B719" s="64" t="s">
        <v>15</v>
      </c>
      <c r="C719" s="64">
        <v>2</v>
      </c>
      <c r="D719" s="64">
        <v>1</v>
      </c>
      <c r="E719" s="71" t="s">
        <v>355</v>
      </c>
      <c r="F719" s="64"/>
      <c r="G719" s="21"/>
      <c r="H719" s="21"/>
      <c r="I719" s="21"/>
      <c r="J719" s="21"/>
      <c r="K719" s="21"/>
      <c r="L719" s="21"/>
      <c r="M719" s="21"/>
    </row>
    <row r="720" spans="1:13" ht="40.5" x14ac:dyDescent="0.25">
      <c r="A720" s="64"/>
      <c r="B720" s="64"/>
      <c r="C720" s="64"/>
      <c r="D720" s="64"/>
      <c r="E720" s="71" t="s">
        <v>177</v>
      </c>
      <c r="F720" s="64"/>
      <c r="G720" s="21"/>
      <c r="H720" s="21"/>
      <c r="I720" s="21"/>
      <c r="J720" s="21"/>
      <c r="K720" s="21"/>
      <c r="L720" s="21"/>
      <c r="M720" s="21"/>
    </row>
    <row r="721" spans="1:16" x14ac:dyDescent="0.25">
      <c r="A721" s="64"/>
      <c r="B721" s="64"/>
      <c r="C721" s="64"/>
      <c r="D721" s="64"/>
      <c r="E721" s="71" t="s">
        <v>178</v>
      </c>
      <c r="F721" s="64"/>
      <c r="G721" s="21"/>
      <c r="H721" s="21"/>
      <c r="I721" s="21"/>
      <c r="J721" s="21"/>
      <c r="K721" s="21"/>
      <c r="L721" s="21"/>
      <c r="M721" s="21"/>
    </row>
    <row r="722" spans="1:16" x14ac:dyDescent="0.25">
      <c r="A722" s="64">
        <v>3030</v>
      </c>
      <c r="B722" s="64" t="s">
        <v>15</v>
      </c>
      <c r="C722" s="64">
        <v>3</v>
      </c>
      <c r="D722" s="64">
        <v>0</v>
      </c>
      <c r="E722" s="71" t="s">
        <v>356</v>
      </c>
      <c r="F722" s="64"/>
      <c r="G722" s="21">
        <f t="shared" ref="G722:M722" si="76">G724</f>
        <v>2500</v>
      </c>
      <c r="H722" s="21">
        <f t="shared" si="76"/>
        <v>2500</v>
      </c>
      <c r="I722" s="21">
        <f t="shared" si="76"/>
        <v>0</v>
      </c>
      <c r="J722" s="21">
        <f t="shared" si="76"/>
        <v>612.6482213438735</v>
      </c>
      <c r="K722" s="21">
        <f t="shared" si="76"/>
        <v>1215.4150197628458</v>
      </c>
      <c r="L722" s="21">
        <f t="shared" si="76"/>
        <v>1857.707509881423</v>
      </c>
      <c r="M722" s="21">
        <f t="shared" si="76"/>
        <v>2500</v>
      </c>
    </row>
    <row r="723" spans="1:16" x14ac:dyDescent="0.25">
      <c r="A723" s="64"/>
      <c r="B723" s="64"/>
      <c r="C723" s="64"/>
      <c r="D723" s="64"/>
      <c r="E723" s="71" t="s">
        <v>156</v>
      </c>
      <c r="F723" s="64"/>
      <c r="G723" s="21"/>
      <c r="H723" s="21"/>
      <c r="I723" s="21"/>
      <c r="J723" s="21"/>
      <c r="K723" s="21"/>
      <c r="L723" s="21"/>
      <c r="M723" s="21"/>
    </row>
    <row r="724" spans="1:16" x14ac:dyDescent="0.25">
      <c r="A724" s="64">
        <v>3031</v>
      </c>
      <c r="B724" s="64" t="s">
        <v>15</v>
      </c>
      <c r="C724" s="64">
        <v>3</v>
      </c>
      <c r="D724" s="64">
        <v>1</v>
      </c>
      <c r="E724" s="71" t="s">
        <v>356</v>
      </c>
      <c r="F724" s="64">
        <v>4239</v>
      </c>
      <c r="G724" s="21">
        <f>SUM(H724:I724)</f>
        <v>2500</v>
      </c>
      <c r="H724" s="21">
        <v>2500</v>
      </c>
      <c r="I724" s="21"/>
      <c r="J724" s="146">
        <f>+G724/253*62</f>
        <v>612.6482213438735</v>
      </c>
      <c r="K724" s="146">
        <f>+G724/253*123</f>
        <v>1215.4150197628458</v>
      </c>
      <c r="L724" s="146">
        <f>+G724/253*188</f>
        <v>1857.707509881423</v>
      </c>
      <c r="M724" s="146">
        <f>+G724</f>
        <v>2500</v>
      </c>
    </row>
    <row r="725" spans="1:16" x14ac:dyDescent="0.25">
      <c r="A725" s="64"/>
      <c r="B725" s="64"/>
      <c r="C725" s="64"/>
      <c r="D725" s="64"/>
      <c r="E725" s="71"/>
      <c r="F725" s="64"/>
      <c r="G725" s="21"/>
      <c r="H725" s="21"/>
      <c r="I725" s="21"/>
      <c r="J725" s="21"/>
      <c r="K725" s="21"/>
      <c r="L725" s="21"/>
      <c r="M725" s="21"/>
    </row>
    <row r="726" spans="1:16" x14ac:dyDescent="0.25">
      <c r="A726" s="64">
        <v>3040</v>
      </c>
      <c r="B726" s="64" t="s">
        <v>15</v>
      </c>
      <c r="C726" s="64">
        <v>4</v>
      </c>
      <c r="D726" s="64">
        <v>0</v>
      </c>
      <c r="E726" s="71" t="s">
        <v>357</v>
      </c>
      <c r="F726" s="64"/>
      <c r="G726" s="21">
        <f>+G728</f>
        <v>40305</v>
      </c>
      <c r="H726" s="21">
        <f t="shared" ref="H726:M726" si="77">+H728</f>
        <v>40305</v>
      </c>
      <c r="I726" s="21">
        <f t="shared" si="77"/>
        <v>0</v>
      </c>
      <c r="J726" s="21">
        <f t="shared" si="77"/>
        <v>9133.0632411070492</v>
      </c>
      <c r="K726" s="21">
        <f t="shared" si="77"/>
        <v>19550.059288537723</v>
      </c>
      <c r="L726" s="21">
        <f t="shared" si="77"/>
        <v>27073.774703557814</v>
      </c>
      <c r="M726" s="21">
        <f t="shared" si="77"/>
        <v>40305</v>
      </c>
    </row>
    <row r="727" spans="1:16" ht="56.25" customHeight="1" x14ac:dyDescent="0.25">
      <c r="A727" s="64"/>
      <c r="B727" s="64"/>
      <c r="C727" s="64"/>
      <c r="D727" s="64"/>
      <c r="E727" s="71" t="s">
        <v>156</v>
      </c>
      <c r="F727" s="64"/>
      <c r="G727" s="21"/>
      <c r="H727" s="21"/>
      <c r="I727" s="21"/>
      <c r="J727" s="21"/>
      <c r="K727" s="21"/>
      <c r="L727" s="21"/>
      <c r="M727" s="21"/>
    </row>
    <row r="728" spans="1:16" x14ac:dyDescent="0.25">
      <c r="A728" s="64">
        <v>3041</v>
      </c>
      <c r="B728" s="64" t="s">
        <v>15</v>
      </c>
      <c r="C728" s="64">
        <v>4</v>
      </c>
      <c r="D728" s="64">
        <v>1</v>
      </c>
      <c r="E728" s="71" t="s">
        <v>357</v>
      </c>
      <c r="F728" s="64"/>
      <c r="G728" s="21">
        <f>+G730</f>
        <v>40305</v>
      </c>
      <c r="H728" s="21">
        <f t="shared" ref="H728:M728" si="78">+H730</f>
        <v>40305</v>
      </c>
      <c r="I728" s="21">
        <f t="shared" si="78"/>
        <v>0</v>
      </c>
      <c r="J728" s="21">
        <f t="shared" si="78"/>
        <v>9133.0632411070492</v>
      </c>
      <c r="K728" s="21">
        <f t="shared" si="78"/>
        <v>19550.059288537723</v>
      </c>
      <c r="L728" s="21">
        <f t="shared" si="78"/>
        <v>27073.774703557814</v>
      </c>
      <c r="M728" s="21">
        <f t="shared" si="78"/>
        <v>40305</v>
      </c>
    </row>
    <row r="729" spans="1:16" ht="40.5" x14ac:dyDescent="0.25">
      <c r="A729" s="64"/>
      <c r="B729" s="64"/>
      <c r="C729" s="64"/>
      <c r="D729" s="64"/>
      <c r="E729" s="71" t="s">
        <v>177</v>
      </c>
      <c r="F729" s="64"/>
      <c r="G729" s="21"/>
      <c r="H729" s="21"/>
      <c r="I729" s="21"/>
      <c r="J729" s="21"/>
      <c r="K729" s="21"/>
      <c r="L729" s="21"/>
      <c r="M729" s="21"/>
    </row>
    <row r="730" spans="1:16" x14ac:dyDescent="0.25">
      <c r="A730" s="64"/>
      <c r="B730" s="64"/>
      <c r="C730" s="64"/>
      <c r="D730" s="64"/>
      <c r="E730" s="71" t="s">
        <v>579</v>
      </c>
      <c r="F730" s="64">
        <v>4729</v>
      </c>
      <c r="G730" s="21">
        <f>SUM(H730:I730)</f>
        <v>40305</v>
      </c>
      <c r="H730" s="21">
        <v>40305</v>
      </c>
      <c r="I730" s="21"/>
      <c r="J730" s="146">
        <v>9133.0632411070492</v>
      </c>
      <c r="K730" s="146">
        <v>19550.059288537723</v>
      </c>
      <c r="L730" s="146">
        <v>27073.774703557814</v>
      </c>
      <c r="M730" s="146">
        <f>+G730</f>
        <v>40305</v>
      </c>
    </row>
    <row r="731" spans="1:16" x14ac:dyDescent="0.25">
      <c r="A731" s="64"/>
      <c r="B731" s="64"/>
      <c r="C731" s="64"/>
      <c r="D731" s="64"/>
      <c r="E731" s="71" t="s">
        <v>178</v>
      </c>
      <c r="F731" s="64"/>
      <c r="G731" s="21"/>
      <c r="H731" s="21"/>
      <c r="I731" s="21"/>
      <c r="J731" s="21"/>
      <c r="K731" s="21"/>
      <c r="L731" s="21"/>
      <c r="M731" s="21"/>
    </row>
    <row r="732" spans="1:16" x14ac:dyDescent="0.25">
      <c r="A732" s="64">
        <v>3050</v>
      </c>
      <c r="B732" s="64" t="s">
        <v>15</v>
      </c>
      <c r="C732" s="64">
        <v>5</v>
      </c>
      <c r="D732" s="64">
        <v>0</v>
      </c>
      <c r="E732" s="71" t="s">
        <v>358</v>
      </c>
      <c r="F732" s="64"/>
      <c r="G732" s="21"/>
      <c r="H732" s="21"/>
      <c r="I732" s="21"/>
      <c r="J732" s="21"/>
      <c r="K732" s="21"/>
      <c r="L732" s="21"/>
      <c r="M732" s="21"/>
      <c r="P732" s="154"/>
    </row>
    <row r="733" spans="1:16" ht="60.75" customHeight="1" x14ac:dyDescent="0.25">
      <c r="A733" s="64"/>
      <c r="B733" s="64"/>
      <c r="C733" s="64"/>
      <c r="D733" s="64"/>
      <c r="E733" s="71" t="s">
        <v>156</v>
      </c>
      <c r="F733" s="64"/>
      <c r="G733" s="21"/>
      <c r="H733" s="21"/>
      <c r="I733" s="21"/>
      <c r="J733" s="21"/>
      <c r="K733" s="21"/>
      <c r="L733" s="21"/>
      <c r="M733" s="21"/>
    </row>
    <row r="734" spans="1:16" x14ac:dyDescent="0.25">
      <c r="A734" s="64">
        <v>3051</v>
      </c>
      <c r="B734" s="64" t="s">
        <v>15</v>
      </c>
      <c r="C734" s="64">
        <v>5</v>
      </c>
      <c r="D734" s="64">
        <v>1</v>
      </c>
      <c r="E734" s="71" t="s">
        <v>358</v>
      </c>
      <c r="F734" s="64"/>
      <c r="G734" s="21"/>
      <c r="H734" s="21"/>
      <c r="I734" s="21"/>
      <c r="J734" s="21"/>
      <c r="K734" s="21"/>
      <c r="L734" s="21"/>
      <c r="M734" s="21"/>
    </row>
    <row r="735" spans="1:16" ht="40.5" x14ac:dyDescent="0.25">
      <c r="A735" s="64"/>
      <c r="B735" s="64"/>
      <c r="C735" s="64"/>
      <c r="D735" s="64"/>
      <c r="E735" s="71" t="s">
        <v>177</v>
      </c>
      <c r="F735" s="64"/>
      <c r="G735" s="21"/>
      <c r="H735" s="21"/>
      <c r="I735" s="21"/>
      <c r="J735" s="21"/>
      <c r="K735" s="21"/>
      <c r="L735" s="21"/>
      <c r="M735" s="21"/>
    </row>
    <row r="736" spans="1:16" x14ac:dyDescent="0.25">
      <c r="A736" s="64"/>
      <c r="B736" s="64"/>
      <c r="C736" s="64"/>
      <c r="D736" s="64"/>
      <c r="E736" s="71" t="s">
        <v>178</v>
      </c>
      <c r="F736" s="64"/>
      <c r="G736" s="21"/>
      <c r="H736" s="21"/>
      <c r="I736" s="21"/>
      <c r="J736" s="21"/>
      <c r="K736" s="21"/>
      <c r="L736" s="21"/>
      <c r="M736" s="21"/>
    </row>
    <row r="737" spans="1:13" x14ac:dyDescent="0.25">
      <c r="A737" s="64">
        <v>3060</v>
      </c>
      <c r="B737" s="64" t="s">
        <v>15</v>
      </c>
      <c r="C737" s="64">
        <v>6</v>
      </c>
      <c r="D737" s="64">
        <v>0</v>
      </c>
      <c r="E737" s="71" t="s">
        <v>359</v>
      </c>
      <c r="F737" s="64"/>
      <c r="G737" s="21">
        <f t="shared" ref="G737:M737" si="79">G739</f>
        <v>1260</v>
      </c>
      <c r="H737" s="21">
        <f t="shared" si="79"/>
        <v>1260</v>
      </c>
      <c r="I737" s="21">
        <f t="shared" si="79"/>
        <v>0</v>
      </c>
      <c r="J737" s="21">
        <f t="shared" si="79"/>
        <v>308.77470355731225</v>
      </c>
      <c r="K737" s="21">
        <f t="shared" si="79"/>
        <v>612.56916996047426</v>
      </c>
      <c r="L737" s="21">
        <f t="shared" si="79"/>
        <v>936.28458498023713</v>
      </c>
      <c r="M737" s="21">
        <f t="shared" si="79"/>
        <v>1260</v>
      </c>
    </row>
    <row r="738" spans="1:13" ht="57.75" customHeight="1" x14ac:dyDescent="0.25">
      <c r="A738" s="64"/>
      <c r="B738" s="64"/>
      <c r="C738" s="64"/>
      <c r="D738" s="64"/>
      <c r="E738" s="71" t="s">
        <v>156</v>
      </c>
      <c r="F738" s="64"/>
      <c r="G738" s="21"/>
      <c r="H738" s="21"/>
      <c r="I738" s="21"/>
      <c r="J738" s="21"/>
      <c r="K738" s="21"/>
      <c r="L738" s="21"/>
      <c r="M738" s="21"/>
    </row>
    <row r="739" spans="1:13" x14ac:dyDescent="0.25">
      <c r="A739" s="64">
        <v>3061</v>
      </c>
      <c r="B739" s="64" t="s">
        <v>15</v>
      </c>
      <c r="C739" s="64">
        <v>6</v>
      </c>
      <c r="D739" s="64">
        <v>1</v>
      </c>
      <c r="E739" s="71" t="s">
        <v>359</v>
      </c>
      <c r="F739" s="64"/>
      <c r="G739" s="21">
        <f>+G741+G742+G743</f>
        <v>1260</v>
      </c>
      <c r="H739" s="21">
        <f t="shared" ref="H739:M739" si="80">+H741+H742+H743</f>
        <v>1260</v>
      </c>
      <c r="I739" s="21">
        <f t="shared" si="80"/>
        <v>0</v>
      </c>
      <c r="J739" s="21">
        <f t="shared" si="80"/>
        <v>308.77470355731225</v>
      </c>
      <c r="K739" s="21">
        <f t="shared" si="80"/>
        <v>612.56916996047426</v>
      </c>
      <c r="L739" s="21">
        <f t="shared" si="80"/>
        <v>936.28458498023713</v>
      </c>
      <c r="M739" s="21">
        <f t="shared" si="80"/>
        <v>1260</v>
      </c>
    </row>
    <row r="740" spans="1:13" ht="40.5" x14ac:dyDescent="0.25">
      <c r="A740" s="64"/>
      <c r="B740" s="64"/>
      <c r="C740" s="64"/>
      <c r="D740" s="64"/>
      <c r="E740" s="71" t="s">
        <v>177</v>
      </c>
      <c r="F740" s="64"/>
      <c r="G740" s="21"/>
      <c r="H740" s="21"/>
      <c r="I740" s="21"/>
      <c r="J740" s="21"/>
      <c r="K740" s="21"/>
      <c r="L740" s="21"/>
      <c r="M740" s="21"/>
    </row>
    <row r="741" spans="1:13" x14ac:dyDescent="0.25">
      <c r="A741" s="64"/>
      <c r="B741" s="64"/>
      <c r="C741" s="64"/>
      <c r="D741" s="64"/>
      <c r="E741" s="71" t="s">
        <v>578</v>
      </c>
      <c r="F741" s="64">
        <v>4728</v>
      </c>
      <c r="G741" s="21">
        <f>SUM(H741:I741)</f>
        <v>1260</v>
      </c>
      <c r="H741" s="21">
        <v>1260</v>
      </c>
      <c r="I741" s="21"/>
      <c r="J741" s="146">
        <f>+G741/253*62</f>
        <v>308.77470355731225</v>
      </c>
      <c r="K741" s="146">
        <f>+G741/253*123</f>
        <v>612.56916996047426</v>
      </c>
      <c r="L741" s="146">
        <f>+G741/253*188</f>
        <v>936.28458498023713</v>
      </c>
      <c r="M741" s="146">
        <f>+G741</f>
        <v>1260</v>
      </c>
    </row>
    <row r="742" spans="1:13" ht="37.5" customHeight="1" x14ac:dyDescent="0.25">
      <c r="A742" s="64"/>
      <c r="B742" s="64"/>
      <c r="C742" s="64"/>
      <c r="D742" s="64"/>
      <c r="E742" s="9" t="s">
        <v>497</v>
      </c>
      <c r="F742" s="64" t="s">
        <v>90</v>
      </c>
      <c r="G742" s="21">
        <v>0</v>
      </c>
      <c r="H742" s="21"/>
      <c r="I742" s="21"/>
      <c r="J742" s="84"/>
      <c r="K742" s="84"/>
      <c r="L742" s="84"/>
      <c r="M742" s="84"/>
    </row>
    <row r="743" spans="1:13" ht="27" x14ac:dyDescent="0.25">
      <c r="A743" s="64"/>
      <c r="B743" s="64"/>
      <c r="C743" s="64"/>
      <c r="D743" s="64"/>
      <c r="E743" s="71" t="s">
        <v>598</v>
      </c>
      <c r="F743" s="64" t="s">
        <v>80</v>
      </c>
      <c r="G743" s="21">
        <v>0</v>
      </c>
      <c r="H743" s="21"/>
      <c r="I743" s="21"/>
      <c r="J743" s="84"/>
      <c r="K743" s="84"/>
      <c r="L743" s="84"/>
      <c r="M743" s="84"/>
    </row>
    <row r="744" spans="1:13" ht="36" customHeight="1" x14ac:dyDescent="0.25">
      <c r="A744" s="64">
        <v>3070</v>
      </c>
      <c r="B744" s="64" t="s">
        <v>15</v>
      </c>
      <c r="C744" s="64">
        <v>7</v>
      </c>
      <c r="D744" s="64">
        <v>0</v>
      </c>
      <c r="E744" s="71" t="s">
        <v>360</v>
      </c>
      <c r="F744" s="64"/>
      <c r="G744" s="21">
        <f t="shared" ref="G744:M744" si="81">G746+G747</f>
        <v>26500</v>
      </c>
      <c r="H744" s="21">
        <f t="shared" si="81"/>
        <v>26500</v>
      </c>
      <c r="I744" s="21">
        <f t="shared" si="81"/>
        <v>0</v>
      </c>
      <c r="J744" s="21">
        <f t="shared" si="81"/>
        <v>6494.071146245059</v>
      </c>
      <c r="K744" s="21">
        <f t="shared" si="81"/>
        <v>13911.067193675888</v>
      </c>
      <c r="L744" s="21">
        <f t="shared" si="81"/>
        <v>20719.367588932804</v>
      </c>
      <c r="M744" s="21">
        <f t="shared" si="81"/>
        <v>26500</v>
      </c>
    </row>
    <row r="745" spans="1:13" ht="55.5" customHeight="1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</row>
    <row r="746" spans="1:13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577</v>
      </c>
      <c r="F746" s="64"/>
      <c r="G746" s="21">
        <f t="shared" ref="G746:M746" si="82">G748+G749+G750+G751</f>
        <v>26500</v>
      </c>
      <c r="H746" s="21">
        <f t="shared" si="82"/>
        <v>26500</v>
      </c>
      <c r="I746" s="21">
        <f t="shared" si="82"/>
        <v>0</v>
      </c>
      <c r="J746" s="21">
        <f t="shared" si="82"/>
        <v>6494.071146245059</v>
      </c>
      <c r="K746" s="21">
        <f t="shared" si="82"/>
        <v>13911.067193675888</v>
      </c>
      <c r="L746" s="21">
        <f t="shared" si="82"/>
        <v>20719.367588932804</v>
      </c>
      <c r="M746" s="21">
        <f t="shared" si="82"/>
        <v>26500</v>
      </c>
    </row>
    <row r="747" spans="1:13" ht="40.5" x14ac:dyDescent="0.25">
      <c r="A747" s="64"/>
      <c r="B747" s="64"/>
      <c r="C747" s="64"/>
      <c r="D747" s="64"/>
      <c r="E747" s="71" t="s">
        <v>177</v>
      </c>
      <c r="F747" s="64"/>
      <c r="G747" s="21"/>
      <c r="H747" s="21"/>
      <c r="I747" s="21"/>
      <c r="J747" s="21"/>
      <c r="K747" s="21"/>
      <c r="L747" s="21"/>
      <c r="M747" s="21"/>
    </row>
    <row r="748" spans="1:13" x14ac:dyDescent="0.25">
      <c r="A748" s="64"/>
      <c r="B748" s="64"/>
      <c r="C748" s="64"/>
      <c r="D748" s="64"/>
      <c r="E748" s="71" t="s">
        <v>166</v>
      </c>
      <c r="F748" s="64">
        <v>4239</v>
      </c>
      <c r="G748" s="21">
        <v>0</v>
      </c>
      <c r="H748" s="21"/>
      <c r="I748" s="21"/>
      <c r="J748" s="84"/>
      <c r="K748" s="84"/>
      <c r="L748" s="84"/>
      <c r="M748" s="84"/>
    </row>
    <row r="749" spans="1:13" x14ac:dyDescent="0.25">
      <c r="A749" s="64"/>
      <c r="B749" s="64"/>
      <c r="C749" s="64"/>
      <c r="D749" s="64"/>
      <c r="E749" s="72" t="s">
        <v>414</v>
      </c>
      <c r="F749" s="64">
        <v>4261</v>
      </c>
      <c r="G749" s="21">
        <f>SUM(H749:I749)</f>
        <v>4000</v>
      </c>
      <c r="H749" s="21">
        <v>4000</v>
      </c>
      <c r="I749" s="21"/>
      <c r="J749" s="146">
        <f>+G749/253*62</f>
        <v>980.23715415019763</v>
      </c>
      <c r="K749" s="146">
        <v>2972.3320158102765</v>
      </c>
      <c r="L749" s="146">
        <v>4000</v>
      </c>
      <c r="M749" s="146">
        <f>+G749</f>
        <v>4000</v>
      </c>
    </row>
    <row r="750" spans="1:13" x14ac:dyDescent="0.25">
      <c r="A750" s="64"/>
      <c r="B750" s="64"/>
      <c r="C750" s="64"/>
      <c r="D750" s="64"/>
      <c r="E750" s="71" t="s">
        <v>576</v>
      </c>
      <c r="F750" s="64">
        <v>4729</v>
      </c>
      <c r="G750" s="21">
        <f>SUM(H750:I750)</f>
        <v>21000</v>
      </c>
      <c r="H750" s="21">
        <v>21000</v>
      </c>
      <c r="I750" s="21"/>
      <c r="J750" s="146">
        <f>+G750/253*62</f>
        <v>5146.245059288537</v>
      </c>
      <c r="K750" s="146">
        <f>+G750/253*123</f>
        <v>10209.486166007904</v>
      </c>
      <c r="L750" s="146">
        <f>+G750/253*188</f>
        <v>15604.743083003952</v>
      </c>
      <c r="M750" s="146">
        <f>+G750</f>
        <v>21000</v>
      </c>
    </row>
    <row r="751" spans="1:13" ht="27" x14ac:dyDescent="0.25">
      <c r="A751" s="64"/>
      <c r="B751" s="64"/>
      <c r="C751" s="64"/>
      <c r="D751" s="64"/>
      <c r="E751" s="71" t="s">
        <v>598</v>
      </c>
      <c r="F751" s="64" t="s">
        <v>80</v>
      </c>
      <c r="G751" s="21">
        <f>SUM(H751:I751)</f>
        <v>1500</v>
      </c>
      <c r="H751" s="21">
        <v>1500</v>
      </c>
      <c r="I751" s="21"/>
      <c r="J751" s="146">
        <f>+G751/253*62</f>
        <v>367.58893280632412</v>
      </c>
      <c r="K751" s="146">
        <f>+G751/253*123</f>
        <v>729.24901185770761</v>
      </c>
      <c r="L751" s="146">
        <f>+G751/253*188</f>
        <v>1114.6245059288538</v>
      </c>
      <c r="M751" s="146">
        <f>+G751</f>
        <v>1500</v>
      </c>
    </row>
    <row r="752" spans="1:13" ht="54.75" customHeight="1" x14ac:dyDescent="0.25">
      <c r="A752" s="64"/>
      <c r="B752" s="64"/>
      <c r="C752" s="64"/>
      <c r="D752" s="64"/>
      <c r="E752" s="71"/>
      <c r="F752" s="64"/>
      <c r="G752" s="21"/>
      <c r="H752" s="21"/>
      <c r="I752" s="21"/>
      <c r="J752" s="21"/>
      <c r="K752" s="21"/>
      <c r="L752" s="21"/>
      <c r="M752" s="21"/>
    </row>
    <row r="753" spans="1:13" x14ac:dyDescent="0.25">
      <c r="A753" s="64">
        <v>3080</v>
      </c>
      <c r="B753" s="64" t="s">
        <v>15</v>
      </c>
      <c r="C753" s="64">
        <v>8</v>
      </c>
      <c r="D753" s="64">
        <v>0</v>
      </c>
      <c r="E753" s="71" t="s">
        <v>572</v>
      </c>
      <c r="F753" s="64"/>
      <c r="G753" s="21"/>
      <c r="H753" s="21"/>
      <c r="I753" s="21"/>
      <c r="J753" s="21"/>
      <c r="K753" s="21"/>
      <c r="L753" s="21"/>
      <c r="M753" s="21"/>
    </row>
    <row r="754" spans="1:13" ht="27" x14ac:dyDescent="0.25">
      <c r="A754" s="64"/>
      <c r="B754" s="64"/>
      <c r="C754" s="64"/>
      <c r="D754" s="64"/>
      <c r="E754" s="71" t="s">
        <v>361</v>
      </c>
      <c r="F754" s="64"/>
      <c r="G754" s="21"/>
      <c r="H754" s="21"/>
      <c r="I754" s="21"/>
      <c r="J754" s="21"/>
      <c r="K754" s="21"/>
      <c r="L754" s="21"/>
      <c r="M754" s="21"/>
    </row>
    <row r="755" spans="1:13" ht="35.25" customHeight="1" x14ac:dyDescent="0.25">
      <c r="A755" s="64">
        <v>3081</v>
      </c>
      <c r="B755" s="64" t="s">
        <v>15</v>
      </c>
      <c r="C755" s="64">
        <v>8</v>
      </c>
      <c r="D755" s="64">
        <v>1</v>
      </c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/>
      <c r="B756" s="64"/>
      <c r="C756" s="64"/>
      <c r="D756" s="64"/>
      <c r="E756" s="71" t="s">
        <v>361</v>
      </c>
      <c r="F756" s="64"/>
      <c r="G756" s="21"/>
      <c r="H756" s="21"/>
      <c r="I756" s="21"/>
      <c r="J756" s="21"/>
      <c r="K756" s="21"/>
      <c r="L756" s="21"/>
      <c r="M756" s="21"/>
    </row>
    <row r="757" spans="1:13" ht="34.5" customHeight="1" x14ac:dyDescent="0.25">
      <c r="A757" s="64">
        <v>3090</v>
      </c>
      <c r="B757" s="64" t="s">
        <v>15</v>
      </c>
      <c r="C757" s="64">
        <v>9</v>
      </c>
      <c r="D757" s="64">
        <v>0</v>
      </c>
      <c r="E757" s="71" t="s">
        <v>362</v>
      </c>
      <c r="F757" s="64"/>
      <c r="G757" s="21">
        <f>+G759</f>
        <v>0</v>
      </c>
      <c r="H757" s="21">
        <f t="shared" ref="H757:M757" si="83">+H759</f>
        <v>0</v>
      </c>
      <c r="I757" s="21">
        <f t="shared" si="83"/>
        <v>0</v>
      </c>
      <c r="J757" s="21">
        <f t="shared" si="83"/>
        <v>0</v>
      </c>
      <c r="K757" s="21">
        <f t="shared" si="83"/>
        <v>0</v>
      </c>
      <c r="L757" s="21">
        <f t="shared" si="83"/>
        <v>0</v>
      </c>
      <c r="M757" s="21">
        <f t="shared" si="83"/>
        <v>0</v>
      </c>
    </row>
    <row r="758" spans="1:13" ht="57" customHeight="1" x14ac:dyDescent="0.25">
      <c r="A758" s="64"/>
      <c r="B758" s="64"/>
      <c r="C758" s="64"/>
      <c r="D758" s="64"/>
      <c r="E758" s="71" t="s">
        <v>156</v>
      </c>
      <c r="F758" s="64"/>
      <c r="G758" s="21"/>
      <c r="H758" s="21"/>
      <c r="I758" s="21"/>
      <c r="J758" s="21"/>
      <c r="K758" s="21"/>
      <c r="L758" s="21"/>
      <c r="M758" s="21"/>
    </row>
    <row r="759" spans="1:13" ht="27" x14ac:dyDescent="0.25">
      <c r="A759" s="64">
        <v>3091</v>
      </c>
      <c r="B759" s="64" t="s">
        <v>15</v>
      </c>
      <c r="C759" s="64">
        <v>9</v>
      </c>
      <c r="D759" s="64">
        <v>1</v>
      </c>
      <c r="E759" s="71" t="s">
        <v>362</v>
      </c>
      <c r="F759" s="64"/>
      <c r="G759" s="21">
        <f>SUM(G761:G768)</f>
        <v>0</v>
      </c>
      <c r="H759" s="21">
        <f t="shared" ref="H759:M759" si="84">SUM(H761:H768)</f>
        <v>0</v>
      </c>
      <c r="I759" s="21">
        <f t="shared" si="84"/>
        <v>0</v>
      </c>
      <c r="J759" s="21">
        <f t="shared" si="84"/>
        <v>0</v>
      </c>
      <c r="K759" s="21">
        <f t="shared" si="84"/>
        <v>0</v>
      </c>
      <c r="L759" s="21">
        <f t="shared" si="84"/>
        <v>0</v>
      </c>
      <c r="M759" s="21">
        <f t="shared" si="84"/>
        <v>0</v>
      </c>
    </row>
    <row r="760" spans="1:13" ht="40.5" x14ac:dyDescent="0.25">
      <c r="A760" s="64"/>
      <c r="B760" s="64"/>
      <c r="C760" s="64"/>
      <c r="D760" s="64"/>
      <c r="E760" s="71" t="s">
        <v>177</v>
      </c>
      <c r="F760" s="64"/>
      <c r="G760" s="21"/>
      <c r="H760" s="21"/>
      <c r="I760" s="21"/>
      <c r="J760" s="21"/>
      <c r="K760" s="21"/>
      <c r="L760" s="21"/>
      <c r="M760" s="21"/>
    </row>
    <row r="761" spans="1:13" x14ac:dyDescent="0.25">
      <c r="A761" s="64"/>
      <c r="B761" s="64"/>
      <c r="C761" s="64"/>
      <c r="D761" s="64"/>
      <c r="E761" s="71" t="s">
        <v>571</v>
      </c>
      <c r="F761" s="64">
        <v>4111</v>
      </c>
      <c r="G761" s="21">
        <v>0</v>
      </c>
      <c r="H761" s="21">
        <f>+G761</f>
        <v>0</v>
      </c>
      <c r="I761" s="21"/>
      <c r="J761" s="84">
        <f>+H761/4</f>
        <v>0</v>
      </c>
      <c r="K761" s="84">
        <f>+H761/4*2</f>
        <v>0</v>
      </c>
      <c r="L761" s="84">
        <f>+H761/4*3</f>
        <v>0</v>
      </c>
      <c r="M761" s="84">
        <f>+G761</f>
        <v>0</v>
      </c>
    </row>
    <row r="762" spans="1:13" x14ac:dyDescent="0.25">
      <c r="A762" s="64"/>
      <c r="B762" s="64"/>
      <c r="C762" s="64"/>
      <c r="D762" s="64"/>
      <c r="E762" s="71" t="s">
        <v>572</v>
      </c>
      <c r="F762" s="64">
        <v>4212</v>
      </c>
      <c r="G762" s="21">
        <v>0</v>
      </c>
      <c r="H762" s="21">
        <f t="shared" ref="H762:H768" si="85">+G762</f>
        <v>0</v>
      </c>
      <c r="I762" s="21"/>
      <c r="J762" s="84">
        <f t="shared" ref="J762:J768" si="86">+G762/4</f>
        <v>0</v>
      </c>
      <c r="K762" s="84">
        <f t="shared" ref="K762:K768" si="87">+G762/4*2</f>
        <v>0</v>
      </c>
      <c r="L762" s="84">
        <f t="shared" ref="L762:L768" si="88">+G762/4*3</f>
        <v>0</v>
      </c>
      <c r="M762" s="84">
        <f t="shared" ref="M762:M768" si="89">+G762</f>
        <v>0</v>
      </c>
    </row>
    <row r="763" spans="1:13" x14ac:dyDescent="0.25">
      <c r="A763" s="64"/>
      <c r="B763" s="64"/>
      <c r="C763" s="64"/>
      <c r="D763" s="64"/>
      <c r="E763" s="71" t="s">
        <v>573</v>
      </c>
      <c r="F763" s="64">
        <v>4214</v>
      </c>
      <c r="G763" s="21">
        <v>0</v>
      </c>
      <c r="H763" s="21">
        <f t="shared" si="85"/>
        <v>0</v>
      </c>
      <c r="I763" s="21"/>
      <c r="J763" s="84">
        <f t="shared" si="86"/>
        <v>0</v>
      </c>
      <c r="K763" s="84">
        <f t="shared" si="87"/>
        <v>0</v>
      </c>
      <c r="L763" s="84">
        <f t="shared" si="88"/>
        <v>0</v>
      </c>
      <c r="M763" s="84">
        <f t="shared" si="89"/>
        <v>0</v>
      </c>
    </row>
    <row r="764" spans="1:13" x14ac:dyDescent="0.25">
      <c r="A764" s="64"/>
      <c r="B764" s="64"/>
      <c r="C764" s="64"/>
      <c r="D764" s="64"/>
      <c r="E764" s="71" t="s">
        <v>750</v>
      </c>
      <c r="F764" s="64" t="s">
        <v>50</v>
      </c>
      <c r="G764" s="21">
        <v>0</v>
      </c>
      <c r="H764" s="21">
        <f t="shared" si="85"/>
        <v>0</v>
      </c>
      <c r="I764" s="21"/>
      <c r="J764" s="84">
        <f t="shared" si="86"/>
        <v>0</v>
      </c>
      <c r="K764" s="84">
        <f t="shared" si="87"/>
        <v>0</v>
      </c>
      <c r="L764" s="84">
        <f t="shared" si="88"/>
        <v>0</v>
      </c>
      <c r="M764" s="84">
        <f t="shared" si="89"/>
        <v>0</v>
      </c>
    </row>
    <row r="765" spans="1:13" x14ac:dyDescent="0.25">
      <c r="A765" s="64"/>
      <c r="B765" s="64"/>
      <c r="C765" s="64"/>
      <c r="D765" s="64"/>
      <c r="E765" s="71" t="s">
        <v>574</v>
      </c>
      <c r="F765" s="64">
        <v>4216</v>
      </c>
      <c r="G765" s="21">
        <v>0</v>
      </c>
      <c r="H765" s="21">
        <f t="shared" si="85"/>
        <v>0</v>
      </c>
      <c r="I765" s="21"/>
      <c r="J765" s="84">
        <f t="shared" si="86"/>
        <v>0</v>
      </c>
      <c r="K765" s="84">
        <f t="shared" si="87"/>
        <v>0</v>
      </c>
      <c r="L765" s="84">
        <f t="shared" si="88"/>
        <v>0</v>
      </c>
      <c r="M765" s="84">
        <f t="shared" si="89"/>
        <v>0</v>
      </c>
    </row>
    <row r="766" spans="1:13" x14ac:dyDescent="0.25">
      <c r="A766" s="64"/>
      <c r="B766" s="64"/>
      <c r="C766" s="64"/>
      <c r="D766" s="64"/>
      <c r="E766" s="72" t="s">
        <v>414</v>
      </c>
      <c r="F766" s="64">
        <v>4261</v>
      </c>
      <c r="G766" s="21">
        <v>0</v>
      </c>
      <c r="H766" s="21">
        <f t="shared" si="85"/>
        <v>0</v>
      </c>
      <c r="I766" s="21"/>
      <c r="J766" s="84">
        <f t="shared" si="86"/>
        <v>0</v>
      </c>
      <c r="K766" s="84">
        <f t="shared" si="87"/>
        <v>0</v>
      </c>
      <c r="L766" s="84">
        <f t="shared" si="88"/>
        <v>0</v>
      </c>
      <c r="M766" s="84">
        <f t="shared" si="89"/>
        <v>0</v>
      </c>
    </row>
    <row r="767" spans="1:13" ht="55.5" customHeight="1" x14ac:dyDescent="0.25">
      <c r="A767" s="64"/>
      <c r="B767" s="64"/>
      <c r="C767" s="64"/>
      <c r="D767" s="64"/>
      <c r="E767" s="71" t="s">
        <v>558</v>
      </c>
      <c r="F767" s="64" t="s">
        <v>749</v>
      </c>
      <c r="G767" s="21">
        <v>0</v>
      </c>
      <c r="H767" s="21">
        <f t="shared" si="85"/>
        <v>0</v>
      </c>
      <c r="I767" s="21"/>
      <c r="J767" s="84">
        <f t="shared" si="86"/>
        <v>0</v>
      </c>
      <c r="K767" s="84">
        <f t="shared" si="87"/>
        <v>0</v>
      </c>
      <c r="L767" s="84">
        <f t="shared" si="88"/>
        <v>0</v>
      </c>
      <c r="M767" s="84">
        <f t="shared" si="89"/>
        <v>0</v>
      </c>
    </row>
    <row r="768" spans="1:13" ht="54" customHeight="1" x14ac:dyDescent="0.25">
      <c r="A768" s="64"/>
      <c r="B768" s="64"/>
      <c r="C768" s="64"/>
      <c r="D768" s="64"/>
      <c r="E768" s="71" t="s">
        <v>575</v>
      </c>
      <c r="F768" s="64">
        <v>4264</v>
      </c>
      <c r="G768" s="21">
        <v>0</v>
      </c>
      <c r="H768" s="21">
        <f t="shared" si="85"/>
        <v>0</v>
      </c>
      <c r="I768" s="21"/>
      <c r="J768" s="84">
        <f t="shared" si="86"/>
        <v>0</v>
      </c>
      <c r="K768" s="84">
        <f t="shared" si="87"/>
        <v>0</v>
      </c>
      <c r="L768" s="84">
        <f t="shared" si="88"/>
        <v>0</v>
      </c>
      <c r="M768" s="84">
        <f t="shared" si="89"/>
        <v>0</v>
      </c>
    </row>
    <row r="769" spans="1:13" ht="40.5" x14ac:dyDescent="0.25">
      <c r="A769" s="64">
        <v>3092</v>
      </c>
      <c r="B769" s="64" t="s">
        <v>15</v>
      </c>
      <c r="C769" s="64">
        <v>9</v>
      </c>
      <c r="D769" s="64">
        <v>2</v>
      </c>
      <c r="E769" s="71" t="s">
        <v>363</v>
      </c>
      <c r="F769" s="64"/>
      <c r="G769" s="21"/>
      <c r="H769" s="21"/>
      <c r="I769" s="21"/>
      <c r="J769" s="21"/>
      <c r="K769" s="21"/>
      <c r="L769" s="21"/>
      <c r="M769" s="21"/>
    </row>
    <row r="770" spans="1:13" ht="40.5" x14ac:dyDescent="0.25">
      <c r="A770" s="64"/>
      <c r="B770" s="64"/>
      <c r="C770" s="64"/>
      <c r="D770" s="64"/>
      <c r="E770" s="71" t="s">
        <v>177</v>
      </c>
      <c r="F770" s="64"/>
      <c r="G770" s="21"/>
      <c r="H770" s="21"/>
      <c r="I770" s="21"/>
      <c r="J770" s="21"/>
      <c r="K770" s="21"/>
      <c r="L770" s="21"/>
      <c r="M770" s="21"/>
    </row>
    <row r="771" spans="1:13" x14ac:dyDescent="0.25">
      <c r="A771" s="64"/>
      <c r="B771" s="64"/>
      <c r="C771" s="64"/>
      <c r="D771" s="64"/>
      <c r="E771" s="212"/>
      <c r="F771" s="64"/>
      <c r="G771" s="21"/>
      <c r="H771" s="21"/>
      <c r="I771" s="21"/>
      <c r="J771" s="21"/>
      <c r="K771" s="21"/>
      <c r="L771" s="21"/>
      <c r="M771" s="21"/>
    </row>
    <row r="772" spans="1:13" ht="46.5" customHeight="1" x14ac:dyDescent="0.25">
      <c r="A772" s="64"/>
      <c r="B772" s="64"/>
      <c r="C772" s="64"/>
      <c r="D772" s="64"/>
      <c r="E772" s="212"/>
      <c r="F772" s="64"/>
      <c r="G772" s="21"/>
      <c r="H772" s="21"/>
      <c r="I772" s="21"/>
      <c r="J772" s="21"/>
      <c r="K772" s="21"/>
      <c r="L772" s="21"/>
      <c r="M772" s="21"/>
    </row>
    <row r="773" spans="1:13" x14ac:dyDescent="0.25">
      <c r="A773" s="64"/>
      <c r="B773" s="64"/>
      <c r="C773" s="64"/>
      <c r="D773" s="64"/>
      <c r="E773" s="71" t="s">
        <v>178</v>
      </c>
      <c r="F773" s="64"/>
      <c r="G773" s="21"/>
      <c r="H773" s="21"/>
      <c r="I773" s="21"/>
      <c r="J773" s="21"/>
      <c r="K773" s="21"/>
      <c r="L773" s="21"/>
      <c r="M773" s="21"/>
    </row>
    <row r="774" spans="1:13" ht="27" x14ac:dyDescent="0.25">
      <c r="A774" s="64">
        <v>3100</v>
      </c>
      <c r="B774" s="64" t="s">
        <v>16</v>
      </c>
      <c r="C774" s="64">
        <v>0</v>
      </c>
      <c r="D774" s="64">
        <v>0</v>
      </c>
      <c r="E774" s="74" t="s">
        <v>364</v>
      </c>
      <c r="F774" s="64"/>
      <c r="G774" s="21"/>
      <c r="H774" s="21">
        <f t="shared" ref="H774:M774" si="90">+H776</f>
        <v>762252.174</v>
      </c>
      <c r="I774" s="21">
        <f t="shared" si="90"/>
        <v>762252.174</v>
      </c>
      <c r="J774" s="21">
        <f t="shared" si="90"/>
        <v>282033.30437999999</v>
      </c>
      <c r="K774" s="21">
        <f t="shared" si="90"/>
        <v>396371.13047999999</v>
      </c>
      <c r="L774" s="21">
        <f t="shared" si="90"/>
        <v>510708.95658</v>
      </c>
      <c r="M774" s="21">
        <f t="shared" si="90"/>
        <v>762252.174</v>
      </c>
    </row>
    <row r="775" spans="1:13" x14ac:dyDescent="0.25">
      <c r="A775" s="64"/>
      <c r="B775" s="64"/>
      <c r="C775" s="64"/>
      <c r="D775" s="64"/>
      <c r="E775" s="71" t="s">
        <v>154</v>
      </c>
      <c r="F775" s="64"/>
      <c r="G775" s="21"/>
      <c r="H775" s="21"/>
      <c r="I775" s="21"/>
      <c r="J775" s="21"/>
      <c r="K775" s="21"/>
      <c r="L775" s="21"/>
      <c r="M775" s="21"/>
    </row>
    <row r="776" spans="1:13" ht="55.5" customHeight="1" x14ac:dyDescent="0.25">
      <c r="A776" s="64">
        <v>3112</v>
      </c>
      <c r="B776" s="64" t="s">
        <v>16</v>
      </c>
      <c r="C776" s="64">
        <v>1</v>
      </c>
      <c r="D776" s="64">
        <v>2</v>
      </c>
      <c r="E776" s="74" t="s">
        <v>365</v>
      </c>
      <c r="F776" s="64"/>
      <c r="G776" s="21"/>
      <c r="H776" s="21">
        <f t="shared" ref="H776:M776" si="91">+H779</f>
        <v>762252.174</v>
      </c>
      <c r="I776" s="21">
        <f t="shared" si="91"/>
        <v>762252.174</v>
      </c>
      <c r="J776" s="21">
        <f t="shared" si="91"/>
        <v>282033.30437999999</v>
      </c>
      <c r="K776" s="21">
        <f t="shared" si="91"/>
        <v>396371.13047999999</v>
      </c>
      <c r="L776" s="21">
        <f t="shared" si="91"/>
        <v>510708.95658</v>
      </c>
      <c r="M776" s="21">
        <f t="shared" si="91"/>
        <v>762252.174</v>
      </c>
    </row>
    <row r="777" spans="1:13" x14ac:dyDescent="0.25">
      <c r="A777" s="64"/>
      <c r="B777" s="64"/>
      <c r="C777" s="64"/>
      <c r="D777" s="64"/>
      <c r="E777" s="71" t="s">
        <v>156</v>
      </c>
      <c r="F777" s="64"/>
      <c r="G777" s="21"/>
      <c r="H777" s="21"/>
      <c r="I777" s="21"/>
      <c r="J777" s="21"/>
      <c r="K777" s="21"/>
      <c r="L777" s="21"/>
      <c r="M777" s="21"/>
    </row>
    <row r="778" spans="1:13" ht="40.5" x14ac:dyDescent="0.25">
      <c r="A778" s="64"/>
      <c r="B778" s="64"/>
      <c r="C778" s="64"/>
      <c r="D778" s="64"/>
      <c r="E778" s="71" t="s">
        <v>177</v>
      </c>
      <c r="F778" s="64"/>
      <c r="G778" s="21"/>
      <c r="H778" s="21"/>
      <c r="I778" s="21"/>
      <c r="J778" s="21"/>
      <c r="K778" s="21"/>
      <c r="L778" s="21"/>
      <c r="M778" s="21"/>
    </row>
    <row r="779" spans="1:13" x14ac:dyDescent="0.25">
      <c r="A779" s="64"/>
      <c r="B779" s="64"/>
      <c r="C779" s="64"/>
      <c r="D779" s="64"/>
      <c r="E779" s="71" t="s">
        <v>570</v>
      </c>
      <c r="F779" s="64">
        <v>4891</v>
      </c>
      <c r="G779" s="21"/>
      <c r="H779" s="21">
        <v>762252.174</v>
      </c>
      <c r="I779" s="21">
        <f>+H779</f>
        <v>762252.174</v>
      </c>
      <c r="J779" s="21">
        <v>282033.30437999999</v>
      </c>
      <c r="K779" s="21">
        <v>396371.13047999999</v>
      </c>
      <c r="L779" s="21">
        <v>510708.95658</v>
      </c>
      <c r="M779" s="21">
        <f>+I779</f>
        <v>762252.174</v>
      </c>
    </row>
    <row r="780" spans="1:13" x14ac:dyDescent="0.25">
      <c r="I780" s="154"/>
    </row>
    <row r="782" spans="1:13" x14ac:dyDescent="0.25">
      <c r="G782" s="213"/>
    </row>
    <row r="783" spans="1:13" x14ac:dyDescent="0.25">
      <c r="I783" s="154"/>
      <c r="J783" s="154"/>
      <c r="K783" s="154"/>
      <c r="L783" s="154"/>
      <c r="M783" s="154"/>
    </row>
    <row r="786" spans="7:13" x14ac:dyDescent="0.25">
      <c r="G786" s="154"/>
      <c r="H786" s="154"/>
      <c r="I786" s="154"/>
      <c r="J786" s="154"/>
      <c r="K786" s="154"/>
      <c r="L786" s="154"/>
      <c r="M786" s="154"/>
    </row>
  </sheetData>
  <protectedRanges>
    <protectedRange sqref="J761:M761 M762:M768 M81:M87 M107:M108 J562:M562 J635:M637 J742:M743 J80:M80 J160:M161 J590:M590 J748:M748 M110:M111 J113:M113" name="Range1"/>
    <protectedRange sqref="J81:L87 J762:L768" name="Range1_3"/>
    <protectedRange sqref="H724 H730" name="Range22"/>
    <protectedRange sqref="H41 H44" name="Range2_1"/>
    <protectedRange sqref="I593 H591:H592" name="Range17"/>
    <protectedRange sqref="H741" name="Range23"/>
    <protectedRange sqref="I724 I730" name="Range22_1"/>
    <protectedRange sqref="H693:I693" name="Range20_1"/>
    <protectedRange sqref="H634:I634" name="Range18_1"/>
    <protectedRange sqref="H407:I408 H401:H406" name="Range12_1"/>
    <protectedRange sqref="H46:I46 H21:I40" name="Range2_1_1"/>
    <protectedRange sqref="H98:I99 H109:I109 H105 H106:I106 H112:I113" name="Range3_1"/>
    <protectedRange sqref="H162:I162 H158:H160" name="Range5_1"/>
    <protectedRange sqref="H371:I372" name="Range11_1"/>
    <protectedRange sqref="H434 H435:I439 H463:I464 H450:I453 H460:I460 H409 H455:I458" name="Range13_1"/>
    <protectedRange sqref="H594:I594 I591:I592 H593 H565:H566 H616:I616" name="Range17_1"/>
    <protectedRange sqref="H749:I751 I741" name="Range23_1"/>
    <protectedRange sqref="H643" name="Range17_2"/>
    <protectedRange sqref="H454:I454" name="Range13_1_1"/>
    <protectedRange sqref="H572:I572 H571" name="Range17_1_1"/>
  </protectedRanges>
  <mergeCells count="18">
    <mergeCell ref="J5:M5"/>
    <mergeCell ref="J6:M6"/>
    <mergeCell ref="J7:M7"/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J4:M4"/>
  </mergeCells>
  <pageMargins left="0.95" right="0.2" top="0.25" bottom="0.25" header="0" footer="0"/>
  <pageSetup paperSize="9" scale="55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Tigran Ghandiljyan</cp:lastModifiedBy>
  <cp:lastPrinted>2024-07-16T06:26:16Z</cp:lastPrinted>
  <dcterms:created xsi:type="dcterms:W3CDTF">2014-12-23T06:44:04Z</dcterms:created>
  <dcterms:modified xsi:type="dcterms:W3CDTF">2024-08-02T12:28:39Z</dcterms:modified>
</cp:coreProperties>
</file>