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95"/>
  </bookViews>
  <sheets>
    <sheet name="կապիտալ" sheetId="1" r:id="rId1"/>
  </sheets>
  <definedNames>
    <definedName name="_xlnm._FilterDatabase" localSheetId="0" hidden="1">կապիտալ!$A$7:$V$1016</definedName>
    <definedName name="_xlnm.Print_Area" localSheetId="0">կապիտալ!$A$1:$W$1046</definedName>
    <definedName name="_xlnm.Print_Titles" localSheetId="0">կապիտալ!$7:$9</definedName>
    <definedName name="Z_155F7499_2150_4D1D_A33C_609506E2BE56_.wvu.PrintTitles" localSheetId="0" hidden="1">կապիտալ!$8:$9</definedName>
    <definedName name="Z_1E196B97_C3EA_4B2F_8DA4_0D00A0E8FDF0_.wvu.PrintArea" localSheetId="0" hidden="1">կապիտալ!$A$1:$H$994</definedName>
    <definedName name="Z_1E196B97_C3EA_4B2F_8DA4_0D00A0E8FDF0_.wvu.PrintTitles" localSheetId="0" hidden="1">կապիտալ!$8:$9</definedName>
    <definedName name="Z_6569EC42_5602_4591_A3B0_34B671BBD561_.wvu.PrintArea" localSheetId="0" hidden="1">կապիտալ!$A$1:$H$994</definedName>
    <definedName name="Z_6569EC42_5602_4591_A3B0_34B671BBD561_.wvu.PrintTitles" localSheetId="0" hidden="1">կապիտալ!$8:$9</definedName>
    <definedName name="Z_7B743627_E41D_470B_A1E2_E178855C2124_.wvu.PrintArea" localSheetId="0" hidden="1">կապիտալ!$A$1:$H$994</definedName>
    <definedName name="Z_7B743627_E41D_470B_A1E2_E178855C2124_.wvu.PrintTitles" localSheetId="0" hidden="1">կապիտալ!$8:$9</definedName>
    <definedName name="Z_875896BD_0E37_4BE3_AF12_5FB65F57808F_.wvu.PrintArea" localSheetId="0" hidden="1">կապիտալ!$A$2:$H$994</definedName>
    <definedName name="Z_875896BD_0E37_4BE3_AF12_5FB65F57808F_.wvu.PrintTitles" localSheetId="0" hidden="1">կապիտալ!$8:$9</definedName>
    <definedName name="Z_8A68503D_EAEE_49D7_B957_F867E305B493_.wvu.PrintArea" localSheetId="0" hidden="1">կապիտալ!$A$2:$H$994</definedName>
    <definedName name="Z_8A68503D_EAEE_49D7_B957_F867E305B493_.wvu.PrintTitles" localSheetId="0" hidden="1">կապիտալ!$8:$9</definedName>
    <definedName name="Z_9871F7C6_683D_4315_B91C_FF1886177AB4_.wvu.PrintTitles" localSheetId="0" hidden="1">կապիտալ!$8:$9</definedName>
    <definedName name="Z_A9A0FFC7_BD84_451E_8B82_5ED9E3DE4DD1_.wvu.PrintArea" localSheetId="0" hidden="1">կապիտալ!$A$1:$H$994</definedName>
    <definedName name="Z_A9A0FFC7_BD84_451E_8B82_5ED9E3DE4DD1_.wvu.PrintTitles" localSheetId="0" hidden="1">կապիտալ!$8:$9</definedName>
    <definedName name="Z_C1CA0EED_2C54_4470_BEA3_7FC59665EB35_.wvu.PrintArea" localSheetId="0" hidden="1">կապիտալ!$A$1:$H$994</definedName>
    <definedName name="Z_C1CA0EED_2C54_4470_BEA3_7FC59665EB35_.wvu.PrintTitles" localSheetId="0" hidden="1">կապիտալ!$8:$9</definedName>
    <definedName name="Z_C2B771FF_7EA5_48FE_AC7B_8F46ADB6509C_.wvu.PrintArea" localSheetId="0" hidden="1">կապիտալ!$A$2:$H$994</definedName>
    <definedName name="Z_C2B771FF_7EA5_48FE_AC7B_8F46ADB6509C_.wvu.PrintTitles" localSheetId="0" hidden="1">կապիտալ!$8:$9</definedName>
    <definedName name="Z_E0B44A5D_DF3C_4DF5_967F_EFE35FE263DD_.wvu.PrintArea" localSheetId="0" hidden="1">կապիտալ!$A$1:$H$994</definedName>
    <definedName name="Z_E0B44A5D_DF3C_4DF5_967F_EFE35FE263DD_.wvu.PrintTitles" localSheetId="0" hidden="1">կապիտալ!$8:$9</definedName>
    <definedName name="Z_E7299FF9_9BFD_4228_A75B_920C4DDCA7D1_.wvu.PrintTitles" localSheetId="0" hidden="1">կապիտալ!$8:$9</definedName>
  </definedNames>
  <calcPr calcId="162913"/>
  <customWorkbookViews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3" i="1" l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0" i="1"/>
  <c r="N889" i="1" l="1"/>
  <c r="I889" i="1"/>
  <c r="S889" i="1" s="1"/>
  <c r="T889" i="1"/>
  <c r="U889" i="1"/>
  <c r="V889" i="1"/>
  <c r="P886" i="1"/>
  <c r="Q886" i="1"/>
  <c r="O886" i="1"/>
  <c r="K886" i="1"/>
  <c r="L886" i="1"/>
  <c r="J886" i="1"/>
  <c r="D886" i="1"/>
  <c r="F886" i="1"/>
  <c r="G886" i="1"/>
  <c r="E886" i="1"/>
  <c r="I886" i="1" l="1"/>
  <c r="P299" i="1" l="1"/>
  <c r="P306" i="1"/>
  <c r="P303" i="1" l="1"/>
  <c r="P307" i="1"/>
  <c r="J160" i="1"/>
  <c r="J96" i="1"/>
  <c r="I157" i="1"/>
  <c r="I288" i="1"/>
  <c r="I286" i="1"/>
  <c r="I283" i="1"/>
  <c r="I284" i="1"/>
  <c r="I282" i="1"/>
  <c r="T91" i="1"/>
  <c r="U91" i="1"/>
  <c r="V91" i="1"/>
  <c r="T92" i="1"/>
  <c r="U92" i="1"/>
  <c r="V92" i="1"/>
  <c r="T93" i="1"/>
  <c r="U93" i="1"/>
  <c r="V93" i="1"/>
  <c r="T94" i="1"/>
  <c r="U94" i="1"/>
  <c r="V94" i="1"/>
  <c r="T95" i="1"/>
  <c r="U95" i="1"/>
  <c r="V95" i="1"/>
  <c r="T97" i="1"/>
  <c r="U97" i="1"/>
  <c r="V97" i="1"/>
  <c r="T98" i="1"/>
  <c r="U98" i="1"/>
  <c r="V98" i="1"/>
  <c r="T99" i="1"/>
  <c r="U99" i="1"/>
  <c r="V99" i="1"/>
  <c r="T100" i="1"/>
  <c r="U100" i="1"/>
  <c r="V100" i="1"/>
  <c r="T101" i="1"/>
  <c r="U101" i="1"/>
  <c r="V101" i="1"/>
  <c r="T102" i="1"/>
  <c r="U102" i="1"/>
  <c r="V102" i="1"/>
  <c r="T103" i="1"/>
  <c r="U103" i="1"/>
  <c r="V103" i="1"/>
  <c r="T104" i="1"/>
  <c r="U104" i="1"/>
  <c r="V104" i="1"/>
  <c r="T105" i="1"/>
  <c r="U105" i="1"/>
  <c r="V105" i="1"/>
  <c r="T106" i="1"/>
  <c r="U106" i="1"/>
  <c r="V106" i="1"/>
  <c r="T107" i="1"/>
  <c r="U107" i="1"/>
  <c r="V107" i="1"/>
  <c r="T108" i="1"/>
  <c r="U108" i="1"/>
  <c r="V108" i="1"/>
  <c r="T109" i="1"/>
  <c r="U109" i="1"/>
  <c r="V109" i="1"/>
  <c r="T110" i="1"/>
  <c r="U110" i="1"/>
  <c r="V110" i="1"/>
  <c r="T111" i="1"/>
  <c r="U111" i="1"/>
  <c r="V111" i="1"/>
  <c r="T112" i="1"/>
  <c r="U112" i="1"/>
  <c r="V112" i="1"/>
  <c r="T113" i="1"/>
  <c r="U113" i="1"/>
  <c r="V113" i="1"/>
  <c r="T115" i="1"/>
  <c r="U115" i="1"/>
  <c r="V115" i="1"/>
  <c r="T116" i="1"/>
  <c r="U116" i="1"/>
  <c r="V116" i="1"/>
  <c r="T117" i="1"/>
  <c r="U117" i="1"/>
  <c r="V117" i="1"/>
  <c r="T118" i="1"/>
  <c r="V118" i="1"/>
  <c r="T119" i="1"/>
  <c r="U119" i="1"/>
  <c r="V119" i="1"/>
  <c r="T120" i="1"/>
  <c r="U120" i="1"/>
  <c r="V120" i="1"/>
  <c r="T121" i="1"/>
  <c r="U121" i="1"/>
  <c r="V121" i="1"/>
  <c r="T123" i="1"/>
  <c r="U123" i="1"/>
  <c r="V123" i="1"/>
  <c r="T124" i="1"/>
  <c r="U124" i="1"/>
  <c r="V124" i="1"/>
  <c r="T125" i="1"/>
  <c r="U125" i="1"/>
  <c r="V125" i="1"/>
  <c r="T126" i="1"/>
  <c r="U126" i="1"/>
  <c r="V126" i="1"/>
  <c r="T128" i="1"/>
  <c r="U128" i="1"/>
  <c r="V128" i="1"/>
  <c r="T129" i="1"/>
  <c r="U129" i="1"/>
  <c r="V129" i="1"/>
  <c r="T131" i="1"/>
  <c r="U131" i="1"/>
  <c r="V131" i="1"/>
  <c r="T133" i="1"/>
  <c r="U133" i="1"/>
  <c r="V133" i="1"/>
  <c r="T135" i="1"/>
  <c r="U135" i="1"/>
  <c r="V135" i="1"/>
  <c r="T137" i="1"/>
  <c r="U137" i="1"/>
  <c r="V137" i="1"/>
  <c r="T138" i="1"/>
  <c r="U138" i="1"/>
  <c r="V138" i="1"/>
  <c r="T139" i="1"/>
  <c r="U139" i="1"/>
  <c r="V139" i="1"/>
  <c r="T140" i="1"/>
  <c r="U140" i="1"/>
  <c r="V140" i="1"/>
  <c r="T141" i="1"/>
  <c r="U141" i="1"/>
  <c r="V141" i="1"/>
  <c r="T143" i="1"/>
  <c r="U143" i="1"/>
  <c r="V143" i="1"/>
  <c r="T144" i="1"/>
  <c r="U144" i="1"/>
  <c r="V144" i="1"/>
  <c r="T145" i="1"/>
  <c r="U145" i="1"/>
  <c r="V145" i="1"/>
  <c r="T146" i="1"/>
  <c r="U146" i="1"/>
  <c r="V146" i="1"/>
  <c r="T147" i="1"/>
  <c r="U147" i="1"/>
  <c r="V147" i="1"/>
  <c r="T149" i="1"/>
  <c r="U149" i="1"/>
  <c r="V149" i="1"/>
  <c r="T151" i="1"/>
  <c r="U151" i="1"/>
  <c r="V151" i="1"/>
  <c r="T152" i="1"/>
  <c r="V152" i="1"/>
  <c r="T154" i="1"/>
  <c r="U154" i="1"/>
  <c r="V154" i="1"/>
  <c r="T155" i="1"/>
  <c r="U155" i="1"/>
  <c r="V155" i="1"/>
  <c r="T157" i="1"/>
  <c r="U157" i="1"/>
  <c r="V157" i="1"/>
  <c r="T158" i="1"/>
  <c r="U158" i="1"/>
  <c r="V158" i="1"/>
  <c r="U159" i="1"/>
  <c r="V159" i="1"/>
  <c r="T161" i="1"/>
  <c r="U161" i="1"/>
  <c r="V161" i="1"/>
  <c r="T162" i="1"/>
  <c r="U162" i="1"/>
  <c r="V162" i="1"/>
  <c r="T163" i="1"/>
  <c r="U163" i="1"/>
  <c r="V163" i="1"/>
  <c r="T164" i="1"/>
  <c r="U164" i="1"/>
  <c r="V164" i="1"/>
  <c r="T165" i="1"/>
  <c r="U165" i="1"/>
  <c r="T166" i="1"/>
  <c r="U166" i="1"/>
  <c r="V166" i="1"/>
  <c r="T167" i="1"/>
  <c r="U167" i="1"/>
  <c r="V167" i="1"/>
  <c r="T168" i="1"/>
  <c r="U168" i="1"/>
  <c r="V168" i="1"/>
  <c r="T169" i="1"/>
  <c r="U169" i="1"/>
  <c r="V169" i="1"/>
  <c r="T170" i="1"/>
  <c r="U170" i="1"/>
  <c r="V170" i="1"/>
  <c r="T171" i="1"/>
  <c r="U171" i="1"/>
  <c r="V171" i="1"/>
  <c r="T172" i="1"/>
  <c r="U172" i="1"/>
  <c r="V172" i="1"/>
  <c r="T173" i="1"/>
  <c r="U173" i="1"/>
  <c r="V173" i="1"/>
  <c r="T174" i="1"/>
  <c r="U174" i="1"/>
  <c r="V174" i="1"/>
  <c r="T175" i="1"/>
  <c r="U175" i="1"/>
  <c r="V175" i="1"/>
  <c r="T176" i="1"/>
  <c r="U176" i="1"/>
  <c r="V176" i="1"/>
  <c r="T177" i="1"/>
  <c r="U177" i="1"/>
  <c r="V177" i="1"/>
  <c r="T178" i="1"/>
  <c r="U178" i="1"/>
  <c r="V178" i="1"/>
  <c r="T179" i="1"/>
  <c r="U179" i="1"/>
  <c r="V179" i="1"/>
  <c r="T180" i="1"/>
  <c r="U180" i="1"/>
  <c r="V180" i="1"/>
  <c r="T181" i="1"/>
  <c r="U181" i="1"/>
  <c r="V181" i="1"/>
  <c r="T182" i="1"/>
  <c r="U182" i="1"/>
  <c r="V182" i="1"/>
  <c r="T183" i="1"/>
  <c r="U183" i="1"/>
  <c r="V183" i="1"/>
  <c r="T184" i="1"/>
  <c r="U184" i="1"/>
  <c r="V184" i="1"/>
  <c r="T185" i="1"/>
  <c r="U185" i="1"/>
  <c r="V185" i="1"/>
  <c r="T186" i="1"/>
  <c r="U186" i="1"/>
  <c r="V186" i="1"/>
  <c r="T187" i="1"/>
  <c r="U187" i="1"/>
  <c r="V187" i="1"/>
  <c r="T188" i="1"/>
  <c r="U188" i="1"/>
  <c r="V188" i="1"/>
  <c r="T189" i="1"/>
  <c r="U189" i="1"/>
  <c r="V189" i="1"/>
  <c r="T190" i="1"/>
  <c r="U190" i="1"/>
  <c r="V190" i="1"/>
  <c r="T191" i="1"/>
  <c r="U191" i="1"/>
  <c r="V191" i="1"/>
  <c r="T192" i="1"/>
  <c r="U192" i="1"/>
  <c r="V192" i="1"/>
  <c r="T193" i="1"/>
  <c r="U193" i="1"/>
  <c r="V193" i="1"/>
  <c r="T194" i="1"/>
  <c r="U194" i="1"/>
  <c r="V194" i="1"/>
  <c r="T195" i="1"/>
  <c r="U195" i="1"/>
  <c r="V195" i="1"/>
  <c r="T196" i="1"/>
  <c r="U196" i="1"/>
  <c r="V196" i="1"/>
  <c r="T197" i="1"/>
  <c r="U197" i="1"/>
  <c r="V197" i="1"/>
  <c r="T198" i="1"/>
  <c r="U198" i="1"/>
  <c r="V198" i="1"/>
  <c r="T199" i="1"/>
  <c r="U199" i="1"/>
  <c r="V199" i="1"/>
  <c r="T200" i="1"/>
  <c r="U200" i="1"/>
  <c r="V200" i="1"/>
  <c r="T201" i="1"/>
  <c r="U201" i="1"/>
  <c r="V201" i="1"/>
  <c r="T202" i="1"/>
  <c r="U202" i="1"/>
  <c r="V202" i="1"/>
  <c r="T204" i="1"/>
  <c r="U204" i="1"/>
  <c r="V204" i="1"/>
  <c r="T205" i="1"/>
  <c r="U205" i="1"/>
  <c r="V205" i="1"/>
  <c r="T206" i="1"/>
  <c r="U206" i="1"/>
  <c r="V206" i="1"/>
  <c r="T207" i="1"/>
  <c r="U207" i="1"/>
  <c r="V207" i="1"/>
  <c r="T208" i="1"/>
  <c r="U208" i="1"/>
  <c r="V208" i="1"/>
  <c r="T209" i="1"/>
  <c r="U209" i="1"/>
  <c r="V209" i="1"/>
  <c r="T210" i="1"/>
  <c r="U210" i="1"/>
  <c r="V210" i="1"/>
  <c r="T211" i="1"/>
  <c r="U211" i="1"/>
  <c r="V211" i="1"/>
  <c r="T212" i="1"/>
  <c r="U212" i="1"/>
  <c r="V212" i="1"/>
  <c r="T213" i="1"/>
  <c r="U213" i="1"/>
  <c r="V213" i="1"/>
  <c r="T214" i="1"/>
  <c r="U214" i="1"/>
  <c r="V214" i="1"/>
  <c r="T215" i="1"/>
  <c r="V215" i="1"/>
  <c r="T216" i="1"/>
  <c r="U216" i="1"/>
  <c r="V216" i="1"/>
  <c r="T217" i="1"/>
  <c r="U217" i="1"/>
  <c r="V217" i="1"/>
  <c r="T218" i="1"/>
  <c r="U218" i="1"/>
  <c r="V218" i="1"/>
  <c r="T219" i="1"/>
  <c r="U219" i="1"/>
  <c r="V219" i="1"/>
  <c r="T220" i="1"/>
  <c r="U220" i="1"/>
  <c r="V220" i="1"/>
  <c r="T221" i="1"/>
  <c r="U221" i="1"/>
  <c r="V221" i="1"/>
  <c r="T222" i="1"/>
  <c r="U222" i="1"/>
  <c r="V222" i="1"/>
  <c r="T223" i="1"/>
  <c r="U223" i="1"/>
  <c r="V223" i="1"/>
  <c r="T224" i="1"/>
  <c r="U224" i="1"/>
  <c r="V224" i="1"/>
  <c r="T225" i="1"/>
  <c r="U225" i="1"/>
  <c r="V225" i="1"/>
  <c r="T226" i="1"/>
  <c r="U226" i="1"/>
  <c r="V226" i="1"/>
  <c r="T227" i="1"/>
  <c r="U227" i="1"/>
  <c r="V227" i="1"/>
  <c r="T228" i="1"/>
  <c r="U228" i="1"/>
  <c r="V228" i="1"/>
  <c r="T229" i="1"/>
  <c r="U229" i="1"/>
  <c r="T230" i="1"/>
  <c r="U230" i="1"/>
  <c r="V230" i="1"/>
  <c r="T231" i="1"/>
  <c r="U231" i="1"/>
  <c r="V231" i="1"/>
  <c r="T232" i="1"/>
  <c r="U232" i="1"/>
  <c r="V232" i="1"/>
  <c r="T233" i="1"/>
  <c r="U233" i="1"/>
  <c r="V233" i="1"/>
  <c r="T234" i="1"/>
  <c r="U234" i="1"/>
  <c r="V234" i="1"/>
  <c r="T235" i="1"/>
  <c r="U235" i="1"/>
  <c r="V235" i="1"/>
  <c r="T236" i="1"/>
  <c r="U236" i="1"/>
  <c r="V236" i="1"/>
  <c r="T237" i="1"/>
  <c r="U237" i="1"/>
  <c r="V237" i="1"/>
  <c r="T238" i="1"/>
  <c r="U238" i="1"/>
  <c r="V238" i="1"/>
  <c r="T239" i="1"/>
  <c r="U239" i="1"/>
  <c r="V239" i="1"/>
  <c r="T240" i="1"/>
  <c r="U240" i="1"/>
  <c r="V240" i="1"/>
  <c r="T241" i="1"/>
  <c r="U241" i="1"/>
  <c r="V241" i="1"/>
  <c r="T242" i="1"/>
  <c r="U242" i="1"/>
  <c r="V242" i="1"/>
  <c r="T243" i="1"/>
  <c r="U243" i="1"/>
  <c r="V243" i="1"/>
  <c r="T244" i="1"/>
  <c r="U244" i="1"/>
  <c r="V244" i="1"/>
  <c r="T245" i="1"/>
  <c r="U245" i="1"/>
  <c r="V245" i="1"/>
  <c r="T246" i="1"/>
  <c r="U246" i="1"/>
  <c r="V246" i="1"/>
  <c r="T247" i="1"/>
  <c r="U247" i="1"/>
  <c r="V247" i="1"/>
  <c r="T248" i="1"/>
  <c r="U248" i="1"/>
  <c r="V248" i="1"/>
  <c r="T249" i="1"/>
  <c r="U249" i="1"/>
  <c r="V249" i="1"/>
  <c r="T250" i="1"/>
  <c r="U250" i="1"/>
  <c r="V250" i="1"/>
  <c r="T251" i="1"/>
  <c r="U251" i="1"/>
  <c r="V251" i="1"/>
  <c r="T252" i="1"/>
  <c r="U252" i="1"/>
  <c r="V252" i="1"/>
  <c r="T253" i="1"/>
  <c r="U253" i="1"/>
  <c r="V253" i="1"/>
  <c r="T254" i="1"/>
  <c r="U254" i="1"/>
  <c r="V254" i="1"/>
  <c r="T255" i="1"/>
  <c r="U255" i="1"/>
  <c r="V255" i="1"/>
  <c r="T256" i="1"/>
  <c r="U256" i="1"/>
  <c r="V256" i="1"/>
  <c r="T257" i="1"/>
  <c r="U257" i="1"/>
  <c r="V257" i="1"/>
  <c r="T258" i="1"/>
  <c r="U258" i="1"/>
  <c r="V258" i="1"/>
  <c r="T259" i="1"/>
  <c r="U259" i="1"/>
  <c r="V259" i="1"/>
  <c r="T260" i="1"/>
  <c r="U260" i="1"/>
  <c r="V260" i="1"/>
  <c r="T261" i="1"/>
  <c r="U261" i="1"/>
  <c r="V261" i="1"/>
  <c r="T262" i="1"/>
  <c r="U262" i="1"/>
  <c r="V262" i="1"/>
  <c r="T263" i="1"/>
  <c r="U263" i="1"/>
  <c r="V263" i="1"/>
  <c r="T264" i="1"/>
  <c r="U264" i="1"/>
  <c r="V264" i="1"/>
  <c r="T265" i="1"/>
  <c r="U265" i="1"/>
  <c r="V265" i="1"/>
  <c r="T266" i="1"/>
  <c r="U266" i="1"/>
  <c r="V266" i="1"/>
  <c r="T267" i="1"/>
  <c r="U267" i="1"/>
  <c r="V267" i="1"/>
  <c r="T268" i="1"/>
  <c r="U268" i="1"/>
  <c r="V268" i="1"/>
  <c r="T269" i="1"/>
  <c r="U269" i="1"/>
  <c r="V269" i="1"/>
  <c r="T270" i="1"/>
  <c r="U270" i="1"/>
  <c r="V270" i="1"/>
  <c r="T272" i="1"/>
  <c r="U272" i="1"/>
  <c r="V272" i="1"/>
  <c r="T273" i="1"/>
  <c r="U273" i="1"/>
  <c r="V273" i="1"/>
  <c r="T276" i="1"/>
  <c r="U276" i="1"/>
  <c r="V276" i="1"/>
  <c r="T277" i="1"/>
  <c r="U277" i="1"/>
  <c r="V277" i="1"/>
  <c r="T278" i="1"/>
  <c r="U278" i="1"/>
  <c r="T279" i="1"/>
  <c r="T280" i="1"/>
  <c r="U280" i="1"/>
  <c r="V280" i="1"/>
  <c r="T281" i="1"/>
  <c r="U281" i="1"/>
  <c r="V281" i="1"/>
  <c r="T282" i="1"/>
  <c r="U282" i="1"/>
  <c r="V282" i="1"/>
  <c r="T283" i="1"/>
  <c r="U283" i="1"/>
  <c r="V283" i="1"/>
  <c r="T284" i="1"/>
  <c r="U284" i="1"/>
  <c r="V284" i="1"/>
  <c r="T285" i="1"/>
  <c r="U285" i="1"/>
  <c r="V285" i="1"/>
  <c r="T286" i="1"/>
  <c r="U286" i="1"/>
  <c r="V286" i="1"/>
  <c r="T287" i="1"/>
  <c r="U287" i="1"/>
  <c r="V287" i="1"/>
  <c r="T288" i="1"/>
  <c r="U288" i="1"/>
  <c r="V288" i="1"/>
  <c r="T289" i="1"/>
  <c r="U289" i="1"/>
  <c r="V289" i="1"/>
  <c r="T290" i="1"/>
  <c r="U290" i="1"/>
  <c r="V290" i="1"/>
  <c r="T291" i="1"/>
  <c r="U291" i="1"/>
  <c r="V291" i="1"/>
  <c r="T292" i="1"/>
  <c r="U292" i="1"/>
  <c r="V292" i="1"/>
  <c r="T293" i="1"/>
  <c r="U293" i="1"/>
  <c r="V293" i="1"/>
  <c r="U295" i="1"/>
  <c r="V295" i="1"/>
  <c r="U296" i="1"/>
  <c r="V296" i="1"/>
  <c r="U297" i="1"/>
  <c r="T299" i="1"/>
  <c r="U299" i="1"/>
  <c r="V299" i="1"/>
  <c r="T300" i="1"/>
  <c r="U300" i="1"/>
  <c r="V300" i="1"/>
  <c r="T301" i="1"/>
  <c r="U301" i="1"/>
  <c r="V301" i="1"/>
  <c r="T302" i="1"/>
  <c r="U302" i="1"/>
  <c r="V302" i="1"/>
  <c r="T303" i="1"/>
  <c r="V303" i="1"/>
  <c r="T304" i="1"/>
  <c r="U304" i="1"/>
  <c r="V304" i="1"/>
  <c r="T305" i="1"/>
  <c r="U305" i="1"/>
  <c r="V305" i="1"/>
  <c r="T306" i="1"/>
  <c r="U306" i="1"/>
  <c r="V306" i="1"/>
  <c r="T307" i="1"/>
  <c r="U307" i="1"/>
  <c r="V307" i="1"/>
  <c r="T308" i="1"/>
  <c r="U308" i="1"/>
  <c r="V308" i="1"/>
  <c r="T309" i="1"/>
  <c r="U309" i="1"/>
  <c r="V309" i="1"/>
  <c r="T310" i="1"/>
  <c r="U310" i="1"/>
  <c r="V310" i="1"/>
  <c r="T311" i="1"/>
  <c r="U311" i="1"/>
  <c r="V311" i="1"/>
  <c r="T312" i="1"/>
  <c r="U312" i="1"/>
  <c r="V312" i="1"/>
  <c r="T313" i="1"/>
  <c r="U313" i="1"/>
  <c r="V313" i="1"/>
  <c r="T314" i="1"/>
  <c r="U314" i="1"/>
  <c r="V314" i="1"/>
  <c r="T315" i="1"/>
  <c r="U315" i="1"/>
  <c r="V315" i="1"/>
  <c r="T316" i="1"/>
  <c r="U316" i="1"/>
  <c r="V316" i="1"/>
  <c r="T317" i="1"/>
  <c r="U317" i="1"/>
  <c r="V317" i="1"/>
  <c r="T318" i="1"/>
  <c r="U318" i="1"/>
  <c r="V318" i="1"/>
  <c r="T319" i="1"/>
  <c r="U319" i="1"/>
  <c r="V319" i="1"/>
  <c r="T320" i="1"/>
  <c r="U320" i="1"/>
  <c r="V320" i="1"/>
  <c r="T321" i="1"/>
  <c r="U321" i="1"/>
  <c r="V321" i="1"/>
  <c r="T322" i="1"/>
  <c r="U322" i="1"/>
  <c r="V322" i="1"/>
  <c r="T323" i="1"/>
  <c r="U323" i="1"/>
  <c r="V323" i="1"/>
  <c r="T324" i="1"/>
  <c r="U324" i="1"/>
  <c r="V324" i="1"/>
  <c r="T325" i="1"/>
  <c r="U325" i="1"/>
  <c r="V325" i="1"/>
  <c r="T326" i="1"/>
  <c r="U326" i="1"/>
  <c r="V326" i="1"/>
  <c r="T327" i="1"/>
  <c r="U327" i="1"/>
  <c r="V327" i="1"/>
  <c r="T328" i="1"/>
  <c r="U328" i="1"/>
  <c r="V328" i="1"/>
  <c r="T329" i="1"/>
  <c r="U329" i="1"/>
  <c r="V329" i="1"/>
  <c r="T330" i="1"/>
  <c r="U330" i="1"/>
  <c r="V330" i="1"/>
  <c r="T331" i="1"/>
  <c r="U331" i="1"/>
  <c r="V331" i="1"/>
  <c r="T332" i="1"/>
  <c r="U332" i="1"/>
  <c r="V332" i="1"/>
  <c r="T335" i="1"/>
  <c r="U335" i="1"/>
  <c r="V335" i="1"/>
  <c r="T338" i="1"/>
  <c r="U338" i="1"/>
  <c r="V338" i="1"/>
  <c r="T339" i="1"/>
  <c r="U339" i="1"/>
  <c r="V339" i="1"/>
  <c r="T342" i="1"/>
  <c r="U342" i="1"/>
  <c r="V342" i="1"/>
  <c r="T343" i="1"/>
  <c r="U343" i="1"/>
  <c r="V343" i="1"/>
  <c r="T345" i="1"/>
  <c r="U345" i="1"/>
  <c r="V345" i="1"/>
  <c r="S347" i="1"/>
  <c r="T347" i="1"/>
  <c r="U347" i="1"/>
  <c r="V347" i="1"/>
  <c r="T348" i="1"/>
  <c r="U348" i="1"/>
  <c r="V348" i="1"/>
  <c r="T349" i="1"/>
  <c r="U349" i="1"/>
  <c r="V349" i="1"/>
  <c r="T350" i="1"/>
  <c r="U350" i="1"/>
  <c r="V350" i="1"/>
  <c r="T351" i="1"/>
  <c r="U351" i="1"/>
  <c r="V351" i="1"/>
  <c r="T352" i="1"/>
  <c r="U352" i="1"/>
  <c r="V352" i="1"/>
  <c r="T353" i="1"/>
  <c r="U353" i="1"/>
  <c r="V353" i="1"/>
  <c r="T354" i="1"/>
  <c r="U354" i="1"/>
  <c r="V354" i="1"/>
  <c r="T355" i="1"/>
  <c r="U355" i="1"/>
  <c r="V355" i="1"/>
  <c r="T356" i="1"/>
  <c r="U356" i="1"/>
  <c r="V356" i="1"/>
  <c r="T357" i="1"/>
  <c r="U357" i="1"/>
  <c r="V357" i="1"/>
  <c r="T358" i="1"/>
  <c r="U358" i="1"/>
  <c r="V358" i="1"/>
  <c r="T359" i="1"/>
  <c r="U359" i="1"/>
  <c r="V359" i="1"/>
  <c r="T360" i="1"/>
  <c r="U360" i="1"/>
  <c r="V360" i="1"/>
  <c r="T361" i="1"/>
  <c r="U361" i="1"/>
  <c r="V361" i="1"/>
  <c r="T362" i="1"/>
  <c r="U362" i="1"/>
  <c r="V362" i="1"/>
  <c r="T363" i="1"/>
  <c r="U363" i="1"/>
  <c r="V363" i="1"/>
  <c r="T365" i="1"/>
  <c r="U365" i="1"/>
  <c r="V365" i="1"/>
  <c r="T366" i="1"/>
  <c r="U366" i="1"/>
  <c r="V366" i="1"/>
  <c r="T367" i="1"/>
  <c r="U367" i="1"/>
  <c r="V367" i="1"/>
  <c r="T369" i="1"/>
  <c r="U369" i="1"/>
  <c r="V369" i="1"/>
  <c r="T370" i="1"/>
  <c r="U370" i="1"/>
  <c r="V370" i="1"/>
  <c r="T372" i="1"/>
  <c r="U372" i="1"/>
  <c r="V372" i="1"/>
  <c r="T373" i="1"/>
  <c r="U373" i="1"/>
  <c r="V373" i="1"/>
  <c r="S374" i="1"/>
  <c r="T374" i="1"/>
  <c r="U374" i="1"/>
  <c r="V374" i="1"/>
  <c r="T375" i="1"/>
  <c r="U375" i="1"/>
  <c r="V375" i="1"/>
  <c r="T376" i="1"/>
  <c r="U376" i="1"/>
  <c r="V376" i="1"/>
  <c r="T377" i="1"/>
  <c r="U377" i="1"/>
  <c r="V377" i="1"/>
  <c r="T379" i="1"/>
  <c r="U379" i="1"/>
  <c r="V379" i="1"/>
  <c r="T382" i="1"/>
  <c r="U382" i="1"/>
  <c r="V382" i="1"/>
  <c r="T383" i="1"/>
  <c r="U383" i="1"/>
  <c r="V383" i="1"/>
  <c r="T385" i="1"/>
  <c r="U385" i="1"/>
  <c r="V385" i="1"/>
  <c r="T386" i="1"/>
  <c r="U386" i="1"/>
  <c r="V386" i="1"/>
  <c r="T387" i="1"/>
  <c r="U387" i="1"/>
  <c r="V387" i="1"/>
  <c r="T389" i="1"/>
  <c r="U389" i="1"/>
  <c r="V389" i="1"/>
  <c r="T391" i="1"/>
  <c r="U391" i="1"/>
  <c r="V391" i="1"/>
  <c r="T393" i="1"/>
  <c r="U393" i="1"/>
  <c r="V393" i="1"/>
  <c r="T395" i="1"/>
  <c r="U395" i="1"/>
  <c r="V395" i="1"/>
  <c r="T397" i="1"/>
  <c r="U397" i="1"/>
  <c r="V397" i="1"/>
  <c r="T399" i="1"/>
  <c r="U399" i="1"/>
  <c r="V399" i="1"/>
  <c r="T401" i="1"/>
  <c r="U401" i="1"/>
  <c r="V401" i="1"/>
  <c r="T402" i="1"/>
  <c r="U402" i="1"/>
  <c r="V402" i="1"/>
  <c r="T403" i="1"/>
  <c r="U403" i="1"/>
  <c r="V403" i="1"/>
  <c r="T404" i="1"/>
  <c r="U404" i="1"/>
  <c r="V404" i="1"/>
  <c r="T405" i="1"/>
  <c r="U405" i="1"/>
  <c r="V405" i="1"/>
  <c r="T406" i="1"/>
  <c r="U406" i="1"/>
  <c r="V406" i="1"/>
  <c r="T407" i="1"/>
  <c r="U407" i="1"/>
  <c r="V407" i="1"/>
  <c r="T408" i="1"/>
  <c r="U408" i="1"/>
  <c r="V408" i="1"/>
  <c r="T409" i="1"/>
  <c r="U409" i="1"/>
  <c r="V409" i="1"/>
  <c r="S411" i="1"/>
  <c r="T411" i="1"/>
  <c r="U411" i="1"/>
  <c r="V411" i="1"/>
  <c r="T412" i="1"/>
  <c r="U412" i="1"/>
  <c r="V412" i="1"/>
  <c r="S414" i="1"/>
  <c r="T414" i="1"/>
  <c r="U414" i="1"/>
  <c r="V414" i="1"/>
  <c r="T415" i="1"/>
  <c r="U415" i="1"/>
  <c r="V415" i="1"/>
  <c r="T416" i="1"/>
  <c r="U416" i="1"/>
  <c r="V416" i="1"/>
  <c r="T417" i="1"/>
  <c r="U417" i="1"/>
  <c r="V417" i="1"/>
  <c r="T418" i="1"/>
  <c r="U418" i="1"/>
  <c r="V418" i="1"/>
  <c r="T419" i="1"/>
  <c r="U419" i="1"/>
  <c r="V419" i="1"/>
  <c r="T420" i="1"/>
  <c r="U420" i="1"/>
  <c r="V420" i="1"/>
  <c r="T421" i="1"/>
  <c r="U421" i="1"/>
  <c r="V421" i="1"/>
  <c r="S423" i="1"/>
  <c r="T423" i="1"/>
  <c r="U423" i="1"/>
  <c r="V423" i="1"/>
  <c r="T424" i="1"/>
  <c r="U424" i="1"/>
  <c r="V424" i="1"/>
  <c r="T425" i="1"/>
  <c r="U425" i="1"/>
  <c r="V425" i="1"/>
  <c r="S427" i="1"/>
  <c r="T427" i="1"/>
  <c r="U427" i="1"/>
  <c r="V427" i="1"/>
  <c r="T428" i="1"/>
  <c r="U428" i="1"/>
  <c r="V428" i="1"/>
  <c r="S430" i="1"/>
  <c r="T430" i="1"/>
  <c r="U430" i="1"/>
  <c r="V430" i="1"/>
  <c r="T431" i="1"/>
  <c r="U431" i="1"/>
  <c r="V431" i="1"/>
  <c r="T432" i="1"/>
  <c r="U432" i="1"/>
  <c r="V432" i="1"/>
  <c r="T433" i="1"/>
  <c r="U433" i="1"/>
  <c r="V433" i="1"/>
  <c r="T434" i="1"/>
  <c r="U434" i="1"/>
  <c r="V434" i="1"/>
  <c r="S436" i="1"/>
  <c r="T436" i="1"/>
  <c r="U436" i="1"/>
  <c r="V436" i="1"/>
  <c r="T437" i="1"/>
  <c r="U437" i="1"/>
  <c r="V437" i="1"/>
  <c r="S439" i="1"/>
  <c r="T439" i="1"/>
  <c r="U439" i="1"/>
  <c r="V439" i="1"/>
  <c r="T441" i="1"/>
  <c r="U441" i="1"/>
  <c r="V441" i="1"/>
  <c r="T443" i="1"/>
  <c r="U443" i="1"/>
  <c r="V443" i="1"/>
  <c r="T445" i="1"/>
  <c r="U445" i="1"/>
  <c r="V445" i="1"/>
  <c r="T446" i="1"/>
  <c r="U446" i="1"/>
  <c r="V446" i="1"/>
  <c r="T448" i="1"/>
  <c r="U448" i="1"/>
  <c r="V448" i="1"/>
  <c r="T450" i="1"/>
  <c r="U450" i="1"/>
  <c r="V450" i="1"/>
  <c r="S452" i="1"/>
  <c r="T452" i="1"/>
  <c r="U452" i="1"/>
  <c r="V452" i="1"/>
  <c r="T454" i="1"/>
  <c r="U454" i="1"/>
  <c r="V454" i="1"/>
  <c r="T456" i="1"/>
  <c r="U456" i="1"/>
  <c r="V456" i="1"/>
  <c r="T458" i="1"/>
  <c r="U458" i="1"/>
  <c r="V458" i="1"/>
  <c r="S460" i="1"/>
  <c r="T460" i="1"/>
  <c r="U460" i="1"/>
  <c r="V460" i="1"/>
  <c r="T462" i="1"/>
  <c r="U462" i="1"/>
  <c r="V462" i="1"/>
  <c r="S464" i="1"/>
  <c r="T464" i="1"/>
  <c r="U464" i="1"/>
  <c r="V464" i="1"/>
  <c r="S466" i="1"/>
  <c r="T466" i="1"/>
  <c r="U466" i="1"/>
  <c r="V466" i="1"/>
  <c r="T468" i="1"/>
  <c r="U468" i="1"/>
  <c r="V468" i="1"/>
  <c r="T470" i="1"/>
  <c r="U470" i="1"/>
  <c r="V470" i="1"/>
  <c r="T471" i="1"/>
  <c r="U471" i="1"/>
  <c r="V471" i="1"/>
  <c r="T472" i="1"/>
  <c r="U472" i="1"/>
  <c r="V472" i="1"/>
  <c r="T474" i="1"/>
  <c r="U474" i="1"/>
  <c r="V474" i="1"/>
  <c r="T476" i="1"/>
  <c r="U476" i="1"/>
  <c r="V476" i="1"/>
  <c r="T478" i="1"/>
  <c r="U478" i="1"/>
  <c r="V478" i="1"/>
  <c r="T479" i="1"/>
  <c r="U479" i="1"/>
  <c r="V479" i="1"/>
  <c r="S481" i="1"/>
  <c r="T481" i="1"/>
  <c r="U481" i="1"/>
  <c r="V481" i="1"/>
  <c r="T483" i="1"/>
  <c r="U483" i="1"/>
  <c r="V483" i="1"/>
  <c r="T484" i="1"/>
  <c r="U484" i="1"/>
  <c r="V484" i="1"/>
  <c r="T486" i="1"/>
  <c r="U486" i="1"/>
  <c r="V486" i="1"/>
  <c r="T487" i="1"/>
  <c r="U487" i="1"/>
  <c r="V487" i="1"/>
  <c r="T489" i="1"/>
  <c r="U489" i="1"/>
  <c r="V489" i="1"/>
  <c r="T490" i="1"/>
  <c r="U490" i="1"/>
  <c r="V490" i="1"/>
  <c r="T492" i="1"/>
  <c r="U492" i="1"/>
  <c r="V492" i="1"/>
  <c r="S494" i="1"/>
  <c r="T494" i="1"/>
  <c r="U494" i="1"/>
  <c r="V494" i="1"/>
  <c r="T496" i="1"/>
  <c r="U496" i="1"/>
  <c r="V496" i="1"/>
  <c r="S498" i="1"/>
  <c r="T498" i="1"/>
  <c r="U498" i="1"/>
  <c r="V498" i="1"/>
  <c r="T500" i="1"/>
  <c r="U500" i="1"/>
  <c r="V500" i="1"/>
  <c r="S502" i="1"/>
  <c r="T502" i="1"/>
  <c r="U502" i="1"/>
  <c r="V502" i="1"/>
  <c r="T504" i="1"/>
  <c r="U504" i="1"/>
  <c r="V504" i="1"/>
  <c r="T505" i="1"/>
  <c r="U505" i="1"/>
  <c r="V505" i="1"/>
  <c r="T506" i="1"/>
  <c r="U506" i="1"/>
  <c r="V506" i="1"/>
  <c r="T507" i="1"/>
  <c r="U507" i="1"/>
  <c r="V507" i="1"/>
  <c r="T508" i="1"/>
  <c r="U508" i="1"/>
  <c r="V508" i="1"/>
  <c r="T509" i="1"/>
  <c r="U509" i="1"/>
  <c r="V509" i="1"/>
  <c r="T510" i="1"/>
  <c r="U510" i="1"/>
  <c r="V510" i="1"/>
  <c r="T511" i="1"/>
  <c r="U511" i="1"/>
  <c r="V511" i="1"/>
  <c r="T512" i="1"/>
  <c r="U512" i="1"/>
  <c r="V512" i="1"/>
  <c r="T513" i="1"/>
  <c r="U513" i="1"/>
  <c r="V513" i="1"/>
  <c r="T514" i="1"/>
  <c r="U514" i="1"/>
  <c r="V514" i="1"/>
  <c r="T515" i="1"/>
  <c r="U515" i="1"/>
  <c r="V515" i="1"/>
  <c r="T516" i="1"/>
  <c r="U516" i="1"/>
  <c r="V516" i="1"/>
  <c r="T517" i="1"/>
  <c r="U517" i="1"/>
  <c r="V517" i="1"/>
  <c r="T518" i="1"/>
  <c r="U518" i="1"/>
  <c r="V518" i="1"/>
  <c r="T519" i="1"/>
  <c r="U519" i="1"/>
  <c r="V519" i="1"/>
  <c r="T521" i="1"/>
  <c r="U521" i="1"/>
  <c r="V521" i="1"/>
  <c r="T523" i="1"/>
  <c r="U523" i="1"/>
  <c r="V523" i="1"/>
  <c r="T524" i="1"/>
  <c r="U524" i="1"/>
  <c r="V524" i="1"/>
  <c r="S526" i="1"/>
  <c r="T526" i="1"/>
  <c r="U526" i="1"/>
  <c r="V526" i="1"/>
  <c r="T528" i="1"/>
  <c r="U528" i="1"/>
  <c r="V528" i="1"/>
  <c r="S530" i="1"/>
  <c r="T530" i="1"/>
  <c r="U530" i="1"/>
  <c r="V530" i="1"/>
  <c r="T532" i="1"/>
  <c r="U532" i="1"/>
  <c r="V532" i="1"/>
  <c r="S534" i="1"/>
  <c r="T534" i="1"/>
  <c r="U534" i="1"/>
  <c r="V534" i="1"/>
  <c r="T536" i="1"/>
  <c r="U536" i="1"/>
  <c r="V536" i="1"/>
  <c r="T537" i="1"/>
  <c r="U537" i="1"/>
  <c r="V537" i="1"/>
  <c r="T539" i="1"/>
  <c r="U539" i="1"/>
  <c r="V539" i="1"/>
  <c r="T541" i="1"/>
  <c r="U541" i="1"/>
  <c r="V541" i="1"/>
  <c r="T543" i="1"/>
  <c r="U543" i="1"/>
  <c r="V543" i="1"/>
  <c r="T545" i="1"/>
  <c r="U545" i="1"/>
  <c r="V545" i="1"/>
  <c r="T547" i="1"/>
  <c r="U547" i="1"/>
  <c r="V547" i="1"/>
  <c r="T549" i="1"/>
  <c r="U549" i="1"/>
  <c r="V549" i="1"/>
  <c r="T551" i="1"/>
  <c r="U551" i="1"/>
  <c r="V551" i="1"/>
  <c r="T553" i="1"/>
  <c r="U553" i="1"/>
  <c r="V553" i="1"/>
  <c r="T555" i="1"/>
  <c r="U555" i="1"/>
  <c r="V555" i="1"/>
  <c r="T557" i="1"/>
  <c r="U557" i="1"/>
  <c r="V557" i="1"/>
  <c r="S559" i="1"/>
  <c r="T559" i="1"/>
  <c r="U559" i="1"/>
  <c r="V559" i="1"/>
  <c r="T561" i="1"/>
  <c r="U561" i="1"/>
  <c r="V561" i="1"/>
  <c r="T562" i="1"/>
  <c r="U562" i="1"/>
  <c r="V562" i="1"/>
  <c r="T563" i="1"/>
  <c r="U563" i="1"/>
  <c r="V563" i="1"/>
  <c r="S565" i="1"/>
  <c r="T565" i="1"/>
  <c r="U565" i="1"/>
  <c r="V565" i="1"/>
  <c r="T567" i="1"/>
  <c r="U567" i="1"/>
  <c r="V567" i="1"/>
  <c r="T569" i="1"/>
  <c r="U569" i="1"/>
  <c r="V569" i="1"/>
  <c r="T570" i="1"/>
  <c r="U570" i="1"/>
  <c r="V570" i="1"/>
  <c r="T571" i="1"/>
  <c r="U571" i="1"/>
  <c r="V571" i="1"/>
  <c r="T572" i="1"/>
  <c r="U572" i="1"/>
  <c r="V572" i="1"/>
  <c r="T573" i="1"/>
  <c r="U573" i="1"/>
  <c r="V573" i="1"/>
  <c r="T574" i="1"/>
  <c r="U574" i="1"/>
  <c r="V574" i="1"/>
  <c r="T576" i="1"/>
  <c r="U576" i="1"/>
  <c r="V576" i="1"/>
  <c r="T578" i="1"/>
  <c r="U578" i="1"/>
  <c r="V578" i="1"/>
  <c r="T579" i="1"/>
  <c r="U579" i="1"/>
  <c r="V579" i="1"/>
  <c r="T580" i="1"/>
  <c r="U580" i="1"/>
  <c r="V580" i="1"/>
  <c r="T582" i="1"/>
  <c r="U582" i="1"/>
  <c r="V582" i="1"/>
  <c r="T583" i="1"/>
  <c r="U583" i="1"/>
  <c r="V583" i="1"/>
  <c r="T585" i="1"/>
  <c r="U585" i="1"/>
  <c r="V585" i="1"/>
  <c r="T587" i="1"/>
  <c r="U587" i="1"/>
  <c r="V587" i="1"/>
  <c r="T588" i="1"/>
  <c r="U588" i="1"/>
  <c r="V588" i="1"/>
  <c r="S590" i="1"/>
  <c r="T590" i="1"/>
  <c r="U590" i="1"/>
  <c r="V590" i="1"/>
  <c r="T592" i="1"/>
  <c r="U592" i="1"/>
  <c r="V592" i="1"/>
  <c r="T593" i="1"/>
  <c r="U593" i="1"/>
  <c r="V593" i="1"/>
  <c r="T594" i="1"/>
  <c r="U594" i="1"/>
  <c r="V594" i="1"/>
  <c r="T595" i="1"/>
  <c r="U595" i="1"/>
  <c r="V595" i="1"/>
  <c r="T596" i="1"/>
  <c r="U596" i="1"/>
  <c r="V596" i="1"/>
  <c r="T597" i="1"/>
  <c r="U597" i="1"/>
  <c r="V597" i="1"/>
  <c r="T598" i="1"/>
  <c r="U598" i="1"/>
  <c r="V598" i="1"/>
  <c r="T599" i="1"/>
  <c r="U599" i="1"/>
  <c r="V599" i="1"/>
  <c r="T600" i="1"/>
  <c r="U600" i="1"/>
  <c r="V600" i="1"/>
  <c r="T601" i="1"/>
  <c r="U601" i="1"/>
  <c r="V601" i="1"/>
  <c r="T602" i="1"/>
  <c r="U602" i="1"/>
  <c r="V602" i="1"/>
  <c r="T603" i="1"/>
  <c r="U603" i="1"/>
  <c r="V603" i="1"/>
  <c r="T604" i="1"/>
  <c r="U604" i="1"/>
  <c r="V604" i="1"/>
  <c r="T605" i="1"/>
  <c r="U605" i="1"/>
  <c r="V605" i="1"/>
  <c r="T606" i="1"/>
  <c r="U606" i="1"/>
  <c r="V606" i="1"/>
  <c r="T607" i="1"/>
  <c r="U607" i="1"/>
  <c r="V607" i="1"/>
  <c r="T608" i="1"/>
  <c r="U608" i="1"/>
  <c r="V608" i="1"/>
  <c r="T609" i="1"/>
  <c r="U609" i="1"/>
  <c r="V609" i="1"/>
  <c r="T610" i="1"/>
  <c r="U610" i="1"/>
  <c r="V610" i="1"/>
  <c r="T611" i="1"/>
  <c r="U611" i="1"/>
  <c r="V611" i="1"/>
  <c r="T613" i="1"/>
  <c r="U613" i="1"/>
  <c r="V613" i="1"/>
  <c r="T615" i="1"/>
  <c r="U615" i="1"/>
  <c r="V615" i="1"/>
  <c r="T617" i="1"/>
  <c r="U617" i="1"/>
  <c r="V617" i="1"/>
  <c r="T618" i="1"/>
  <c r="U618" i="1"/>
  <c r="V618" i="1"/>
  <c r="T620" i="1"/>
  <c r="U620" i="1"/>
  <c r="V620" i="1"/>
  <c r="T621" i="1"/>
  <c r="U621" i="1"/>
  <c r="V621" i="1"/>
  <c r="T623" i="1"/>
  <c r="U623" i="1"/>
  <c r="V623" i="1"/>
  <c r="T624" i="1"/>
  <c r="U624" i="1"/>
  <c r="V624" i="1"/>
  <c r="T625" i="1"/>
  <c r="U625" i="1"/>
  <c r="V625" i="1"/>
  <c r="T626" i="1"/>
  <c r="U626" i="1"/>
  <c r="V626" i="1"/>
  <c r="T627" i="1"/>
  <c r="U627" i="1"/>
  <c r="V627" i="1"/>
  <c r="T629" i="1"/>
  <c r="U629" i="1"/>
  <c r="V629" i="1"/>
  <c r="S631" i="1"/>
  <c r="T631" i="1"/>
  <c r="U631" i="1"/>
  <c r="V631" i="1"/>
  <c r="T633" i="1"/>
  <c r="U633" i="1"/>
  <c r="V633" i="1"/>
  <c r="T635" i="1"/>
  <c r="U635" i="1"/>
  <c r="V635" i="1"/>
  <c r="S637" i="1"/>
  <c r="T637" i="1"/>
  <c r="U637" i="1"/>
  <c r="V637" i="1"/>
  <c r="T639" i="1"/>
  <c r="U639" i="1"/>
  <c r="V639" i="1"/>
  <c r="T640" i="1"/>
  <c r="U640" i="1"/>
  <c r="V640" i="1"/>
  <c r="T641" i="1"/>
  <c r="U641" i="1"/>
  <c r="V641" i="1"/>
  <c r="T642" i="1"/>
  <c r="U642" i="1"/>
  <c r="V642" i="1"/>
  <c r="T644" i="1"/>
  <c r="U644" i="1"/>
  <c r="V644" i="1"/>
  <c r="S646" i="1"/>
  <c r="T646" i="1"/>
  <c r="U646" i="1"/>
  <c r="V646" i="1"/>
  <c r="T648" i="1"/>
  <c r="U648" i="1"/>
  <c r="V648" i="1"/>
  <c r="S650" i="1"/>
  <c r="T650" i="1"/>
  <c r="U650" i="1"/>
  <c r="V650" i="1"/>
  <c r="T652" i="1"/>
  <c r="U652" i="1"/>
  <c r="V652" i="1"/>
  <c r="T653" i="1"/>
  <c r="U653" i="1"/>
  <c r="V653" i="1"/>
  <c r="T654" i="1"/>
  <c r="U654" i="1"/>
  <c r="V654" i="1"/>
  <c r="T655" i="1"/>
  <c r="U655" i="1"/>
  <c r="V655" i="1"/>
  <c r="T656" i="1"/>
  <c r="U656" i="1"/>
  <c r="V656" i="1"/>
  <c r="S658" i="1"/>
  <c r="T658" i="1"/>
  <c r="U658" i="1"/>
  <c r="V658" i="1"/>
  <c r="T660" i="1"/>
  <c r="U660" i="1"/>
  <c r="V660" i="1"/>
  <c r="T661" i="1"/>
  <c r="U661" i="1"/>
  <c r="V661" i="1"/>
  <c r="T662" i="1"/>
  <c r="U662" i="1"/>
  <c r="V662" i="1"/>
  <c r="T663" i="1"/>
  <c r="U663" i="1"/>
  <c r="V663" i="1"/>
  <c r="S665" i="1"/>
  <c r="T665" i="1"/>
  <c r="U665" i="1"/>
  <c r="V665" i="1"/>
  <c r="T667" i="1"/>
  <c r="U667" i="1"/>
  <c r="V667" i="1"/>
  <c r="T669" i="1"/>
  <c r="U669" i="1"/>
  <c r="V669" i="1"/>
  <c r="T670" i="1"/>
  <c r="U670" i="1"/>
  <c r="V670" i="1"/>
  <c r="T671" i="1"/>
  <c r="U671" i="1"/>
  <c r="V671" i="1"/>
  <c r="T672" i="1"/>
  <c r="U672" i="1"/>
  <c r="V672" i="1"/>
  <c r="T673" i="1"/>
  <c r="U673" i="1"/>
  <c r="V673" i="1"/>
  <c r="T674" i="1"/>
  <c r="U674" i="1"/>
  <c r="V674" i="1"/>
  <c r="T675" i="1"/>
  <c r="U675" i="1"/>
  <c r="V675" i="1"/>
  <c r="T676" i="1"/>
  <c r="U676" i="1"/>
  <c r="V676" i="1"/>
  <c r="T677" i="1"/>
  <c r="U677" i="1"/>
  <c r="V677" i="1"/>
  <c r="T678" i="1"/>
  <c r="U678" i="1"/>
  <c r="V678" i="1"/>
  <c r="T680" i="1"/>
  <c r="U680" i="1"/>
  <c r="V680" i="1"/>
  <c r="T681" i="1"/>
  <c r="U681" i="1"/>
  <c r="V681" i="1"/>
  <c r="T682" i="1"/>
  <c r="U682" i="1"/>
  <c r="V682" i="1"/>
  <c r="T683" i="1"/>
  <c r="U683" i="1"/>
  <c r="V683" i="1"/>
  <c r="T684" i="1"/>
  <c r="U684" i="1"/>
  <c r="V684" i="1"/>
  <c r="T685" i="1"/>
  <c r="U685" i="1"/>
  <c r="V685" i="1"/>
  <c r="T686" i="1"/>
  <c r="U686" i="1"/>
  <c r="V686" i="1"/>
  <c r="T688" i="1"/>
  <c r="U688" i="1"/>
  <c r="V688" i="1"/>
  <c r="T689" i="1"/>
  <c r="U689" i="1"/>
  <c r="V689" i="1"/>
  <c r="T690" i="1"/>
  <c r="U690" i="1"/>
  <c r="V690" i="1"/>
  <c r="T691" i="1"/>
  <c r="U691" i="1"/>
  <c r="V691" i="1"/>
  <c r="T692" i="1"/>
  <c r="U692" i="1"/>
  <c r="V692" i="1"/>
  <c r="T693" i="1"/>
  <c r="U693" i="1"/>
  <c r="V693" i="1"/>
  <c r="T694" i="1"/>
  <c r="U694" i="1"/>
  <c r="V694" i="1"/>
  <c r="T696" i="1"/>
  <c r="U696" i="1"/>
  <c r="V696" i="1"/>
  <c r="T697" i="1"/>
  <c r="U697" i="1"/>
  <c r="V697" i="1"/>
  <c r="T698" i="1"/>
  <c r="U698" i="1"/>
  <c r="V698" i="1"/>
  <c r="T699" i="1"/>
  <c r="U699" i="1"/>
  <c r="V699" i="1"/>
  <c r="T700" i="1"/>
  <c r="U700" i="1"/>
  <c r="V700" i="1"/>
  <c r="T701" i="1"/>
  <c r="U701" i="1"/>
  <c r="V701" i="1"/>
  <c r="T702" i="1"/>
  <c r="U702" i="1"/>
  <c r="V702" i="1"/>
  <c r="T703" i="1"/>
  <c r="U703" i="1"/>
  <c r="V703" i="1"/>
  <c r="T704" i="1"/>
  <c r="U704" i="1"/>
  <c r="V704" i="1"/>
  <c r="T705" i="1"/>
  <c r="U705" i="1"/>
  <c r="V705" i="1"/>
  <c r="T706" i="1"/>
  <c r="U706" i="1"/>
  <c r="V706" i="1"/>
  <c r="T707" i="1"/>
  <c r="U707" i="1"/>
  <c r="V707" i="1"/>
  <c r="T708" i="1"/>
  <c r="U708" i="1"/>
  <c r="V708" i="1"/>
  <c r="T709" i="1"/>
  <c r="U709" i="1"/>
  <c r="V709" i="1"/>
  <c r="T710" i="1"/>
  <c r="U710" i="1"/>
  <c r="V710" i="1"/>
  <c r="T711" i="1"/>
  <c r="U711" i="1"/>
  <c r="V711" i="1"/>
  <c r="T712" i="1"/>
  <c r="U712" i="1"/>
  <c r="V712" i="1"/>
  <c r="T714" i="1"/>
  <c r="U714" i="1"/>
  <c r="V714" i="1"/>
  <c r="T715" i="1"/>
  <c r="U715" i="1"/>
  <c r="V715" i="1"/>
  <c r="T716" i="1"/>
  <c r="U716" i="1"/>
  <c r="V716" i="1"/>
  <c r="T717" i="1"/>
  <c r="U717" i="1"/>
  <c r="V717" i="1"/>
  <c r="T718" i="1"/>
  <c r="U718" i="1"/>
  <c r="V718" i="1"/>
  <c r="T719" i="1"/>
  <c r="U719" i="1"/>
  <c r="V719" i="1"/>
  <c r="T721" i="1"/>
  <c r="U721" i="1"/>
  <c r="V721" i="1"/>
  <c r="T722" i="1"/>
  <c r="U722" i="1"/>
  <c r="V722" i="1"/>
  <c r="T723" i="1"/>
  <c r="U723" i="1"/>
  <c r="V723" i="1"/>
  <c r="T724" i="1"/>
  <c r="U724" i="1"/>
  <c r="V724" i="1"/>
  <c r="T725" i="1"/>
  <c r="U725" i="1"/>
  <c r="V725" i="1"/>
  <c r="T726" i="1"/>
  <c r="U726" i="1"/>
  <c r="V726" i="1"/>
  <c r="T727" i="1"/>
  <c r="U727" i="1"/>
  <c r="V727" i="1"/>
  <c r="T728" i="1"/>
  <c r="U728" i="1"/>
  <c r="V728" i="1"/>
  <c r="T729" i="1"/>
  <c r="U729" i="1"/>
  <c r="V729" i="1"/>
  <c r="T730" i="1"/>
  <c r="U730" i="1"/>
  <c r="V730" i="1"/>
  <c r="T731" i="1"/>
  <c r="U731" i="1"/>
  <c r="V731" i="1"/>
  <c r="T732" i="1"/>
  <c r="U732" i="1"/>
  <c r="V732" i="1"/>
  <c r="T733" i="1"/>
  <c r="U733" i="1"/>
  <c r="V733" i="1"/>
  <c r="T734" i="1"/>
  <c r="U734" i="1"/>
  <c r="V734" i="1"/>
  <c r="T735" i="1"/>
  <c r="U735" i="1"/>
  <c r="V735" i="1"/>
  <c r="T736" i="1"/>
  <c r="U736" i="1"/>
  <c r="V736" i="1"/>
  <c r="T737" i="1"/>
  <c r="U737" i="1"/>
  <c r="V737" i="1"/>
  <c r="T738" i="1"/>
  <c r="U738" i="1"/>
  <c r="V738" i="1"/>
  <c r="T739" i="1"/>
  <c r="U739" i="1"/>
  <c r="V739" i="1"/>
  <c r="T740" i="1"/>
  <c r="U740" i="1"/>
  <c r="V740" i="1"/>
  <c r="T741" i="1"/>
  <c r="U741" i="1"/>
  <c r="V741" i="1"/>
  <c r="T743" i="1"/>
  <c r="U743" i="1"/>
  <c r="V743" i="1"/>
  <c r="T744" i="1"/>
  <c r="U744" i="1"/>
  <c r="V744" i="1"/>
  <c r="T745" i="1"/>
  <c r="U745" i="1"/>
  <c r="V745" i="1"/>
  <c r="T746" i="1"/>
  <c r="U746" i="1"/>
  <c r="V746" i="1"/>
  <c r="T747" i="1"/>
  <c r="U747" i="1"/>
  <c r="V747" i="1"/>
  <c r="T748" i="1"/>
  <c r="U748" i="1"/>
  <c r="V748" i="1"/>
  <c r="T749" i="1"/>
  <c r="U749" i="1"/>
  <c r="V749" i="1"/>
  <c r="T750" i="1"/>
  <c r="U750" i="1"/>
  <c r="V750" i="1"/>
  <c r="T751" i="1"/>
  <c r="U751" i="1"/>
  <c r="V751" i="1"/>
  <c r="T752" i="1"/>
  <c r="U752" i="1"/>
  <c r="V752" i="1"/>
  <c r="T753" i="1"/>
  <c r="U753" i="1"/>
  <c r="V753" i="1"/>
  <c r="S755" i="1"/>
  <c r="T755" i="1"/>
  <c r="U755" i="1"/>
  <c r="V755" i="1"/>
  <c r="T757" i="1"/>
  <c r="U757" i="1"/>
  <c r="V757" i="1"/>
  <c r="T759" i="1"/>
  <c r="U759" i="1"/>
  <c r="V759" i="1"/>
  <c r="T760" i="1"/>
  <c r="U760" i="1"/>
  <c r="V760" i="1"/>
  <c r="S762" i="1"/>
  <c r="T762" i="1"/>
  <c r="U762" i="1"/>
  <c r="V762" i="1"/>
  <c r="T764" i="1"/>
  <c r="U764" i="1"/>
  <c r="V764" i="1"/>
  <c r="T765" i="1"/>
  <c r="U765" i="1"/>
  <c r="V765" i="1"/>
  <c r="T767" i="1"/>
  <c r="U767" i="1"/>
  <c r="V767" i="1"/>
  <c r="T769" i="1"/>
  <c r="U769" i="1"/>
  <c r="V769" i="1"/>
  <c r="T771" i="1"/>
  <c r="U771" i="1"/>
  <c r="V771" i="1"/>
  <c r="T772" i="1"/>
  <c r="U772" i="1"/>
  <c r="V772" i="1"/>
  <c r="T773" i="1"/>
  <c r="U773" i="1"/>
  <c r="V773" i="1"/>
  <c r="T775" i="1"/>
  <c r="U775" i="1"/>
  <c r="V775" i="1"/>
  <c r="T776" i="1"/>
  <c r="U776" i="1"/>
  <c r="V776" i="1"/>
  <c r="T778" i="1"/>
  <c r="U778" i="1"/>
  <c r="V778" i="1"/>
  <c r="T779" i="1"/>
  <c r="U779" i="1"/>
  <c r="V779" i="1"/>
  <c r="T781" i="1"/>
  <c r="U781" i="1"/>
  <c r="V781" i="1"/>
  <c r="T782" i="1"/>
  <c r="U782" i="1"/>
  <c r="V782" i="1"/>
  <c r="T783" i="1"/>
  <c r="U783" i="1"/>
  <c r="V783" i="1"/>
  <c r="T785" i="1"/>
  <c r="U785" i="1"/>
  <c r="V785" i="1"/>
  <c r="T786" i="1"/>
  <c r="U786" i="1"/>
  <c r="V786" i="1"/>
  <c r="T787" i="1"/>
  <c r="U787" i="1"/>
  <c r="V787" i="1"/>
  <c r="T788" i="1"/>
  <c r="U788" i="1"/>
  <c r="V788" i="1"/>
  <c r="T789" i="1"/>
  <c r="U789" i="1"/>
  <c r="V789" i="1"/>
  <c r="T790" i="1"/>
  <c r="U790" i="1"/>
  <c r="V790" i="1"/>
  <c r="T791" i="1"/>
  <c r="U791" i="1"/>
  <c r="V791" i="1"/>
  <c r="T792" i="1"/>
  <c r="U792" i="1"/>
  <c r="V792" i="1"/>
  <c r="T793" i="1"/>
  <c r="U793" i="1"/>
  <c r="V793" i="1"/>
  <c r="T794" i="1"/>
  <c r="U794" i="1"/>
  <c r="V794" i="1"/>
  <c r="T795" i="1"/>
  <c r="U795" i="1"/>
  <c r="V795" i="1"/>
  <c r="T796" i="1"/>
  <c r="U796" i="1"/>
  <c r="V796" i="1"/>
  <c r="T797" i="1"/>
  <c r="U797" i="1"/>
  <c r="V797" i="1"/>
  <c r="T798" i="1"/>
  <c r="U798" i="1"/>
  <c r="V798" i="1"/>
  <c r="T799" i="1"/>
  <c r="U799" i="1"/>
  <c r="V799" i="1"/>
  <c r="T801" i="1"/>
  <c r="U801" i="1"/>
  <c r="V801" i="1"/>
  <c r="T802" i="1"/>
  <c r="U802" i="1"/>
  <c r="V802" i="1"/>
  <c r="T803" i="1"/>
  <c r="U803" i="1"/>
  <c r="V803" i="1"/>
  <c r="T805" i="1"/>
  <c r="U805" i="1"/>
  <c r="V805" i="1"/>
  <c r="T806" i="1"/>
  <c r="U806" i="1"/>
  <c r="V806" i="1"/>
  <c r="S808" i="1"/>
  <c r="T808" i="1"/>
  <c r="U808" i="1"/>
  <c r="V808" i="1"/>
  <c r="T810" i="1"/>
  <c r="U810" i="1"/>
  <c r="V810" i="1"/>
  <c r="T812" i="1"/>
  <c r="U812" i="1"/>
  <c r="V812" i="1"/>
  <c r="S814" i="1"/>
  <c r="T814" i="1"/>
  <c r="U814" i="1"/>
  <c r="V814" i="1"/>
  <c r="T816" i="1"/>
  <c r="U816" i="1"/>
  <c r="V816" i="1"/>
  <c r="T817" i="1"/>
  <c r="U817" i="1"/>
  <c r="V817" i="1"/>
  <c r="T818" i="1"/>
  <c r="U818" i="1"/>
  <c r="V818" i="1"/>
  <c r="T819" i="1"/>
  <c r="U819" i="1"/>
  <c r="V819" i="1"/>
  <c r="T821" i="1"/>
  <c r="U821" i="1"/>
  <c r="V821" i="1"/>
  <c r="T822" i="1"/>
  <c r="U822" i="1"/>
  <c r="V822" i="1"/>
  <c r="T824" i="1"/>
  <c r="U824" i="1"/>
  <c r="V824" i="1"/>
  <c r="T825" i="1"/>
  <c r="U825" i="1"/>
  <c r="V825" i="1"/>
  <c r="T826" i="1"/>
  <c r="U826" i="1"/>
  <c r="V826" i="1"/>
  <c r="T827" i="1"/>
  <c r="U827" i="1"/>
  <c r="V827" i="1"/>
  <c r="T828" i="1"/>
  <c r="U828" i="1"/>
  <c r="V828" i="1"/>
  <c r="T830" i="1"/>
  <c r="U830" i="1"/>
  <c r="V830" i="1"/>
  <c r="T832" i="1"/>
  <c r="U832" i="1"/>
  <c r="V832" i="1"/>
  <c r="T833" i="1"/>
  <c r="U833" i="1"/>
  <c r="V833" i="1"/>
  <c r="T834" i="1"/>
  <c r="U834" i="1"/>
  <c r="V834" i="1"/>
  <c r="T835" i="1"/>
  <c r="U835" i="1"/>
  <c r="V835" i="1"/>
  <c r="T836" i="1"/>
  <c r="U836" i="1"/>
  <c r="V836" i="1"/>
  <c r="T838" i="1"/>
  <c r="U838" i="1"/>
  <c r="V838" i="1"/>
  <c r="S840" i="1"/>
  <c r="T840" i="1"/>
  <c r="U840" i="1"/>
  <c r="V840" i="1"/>
  <c r="T842" i="1"/>
  <c r="U842" i="1"/>
  <c r="V842" i="1"/>
  <c r="T843" i="1"/>
  <c r="U843" i="1"/>
  <c r="V843" i="1"/>
  <c r="T844" i="1"/>
  <c r="U844" i="1"/>
  <c r="V844" i="1"/>
  <c r="T845" i="1"/>
  <c r="U845" i="1"/>
  <c r="V845" i="1"/>
  <c r="T847" i="1"/>
  <c r="U847" i="1"/>
  <c r="V847" i="1"/>
  <c r="T848" i="1"/>
  <c r="U848" i="1"/>
  <c r="V848" i="1"/>
  <c r="T849" i="1"/>
  <c r="U849" i="1"/>
  <c r="V849" i="1"/>
  <c r="T850" i="1"/>
  <c r="U850" i="1"/>
  <c r="V850" i="1"/>
  <c r="T852" i="1"/>
  <c r="U852" i="1"/>
  <c r="V852" i="1"/>
  <c r="T853" i="1"/>
  <c r="U853" i="1"/>
  <c r="V853" i="1"/>
  <c r="T855" i="1"/>
  <c r="U855" i="1"/>
  <c r="V855" i="1"/>
  <c r="T856" i="1"/>
  <c r="U856" i="1"/>
  <c r="V856" i="1"/>
  <c r="T858" i="1"/>
  <c r="U858" i="1"/>
  <c r="V858" i="1"/>
  <c r="S860" i="1"/>
  <c r="T860" i="1"/>
  <c r="U860" i="1"/>
  <c r="V860" i="1"/>
  <c r="T862" i="1"/>
  <c r="U862" i="1"/>
  <c r="V862" i="1"/>
  <c r="T864" i="1"/>
  <c r="U864" i="1"/>
  <c r="V864" i="1"/>
  <c r="T866" i="1"/>
  <c r="U866" i="1"/>
  <c r="V866" i="1"/>
  <c r="T868" i="1"/>
  <c r="U868" i="1"/>
  <c r="V868" i="1"/>
  <c r="T870" i="1"/>
  <c r="U870" i="1"/>
  <c r="V870" i="1"/>
  <c r="T872" i="1"/>
  <c r="U872" i="1"/>
  <c r="V872" i="1"/>
  <c r="T873" i="1"/>
  <c r="U873" i="1"/>
  <c r="V873" i="1"/>
  <c r="T875" i="1"/>
  <c r="U875" i="1"/>
  <c r="V875" i="1"/>
  <c r="S877" i="1"/>
  <c r="T877" i="1"/>
  <c r="U877" i="1"/>
  <c r="V877" i="1"/>
  <c r="T878" i="1"/>
  <c r="U878" i="1"/>
  <c r="V878" i="1"/>
  <c r="T879" i="1"/>
  <c r="U879" i="1"/>
  <c r="V879" i="1"/>
  <c r="T881" i="1"/>
  <c r="U881" i="1"/>
  <c r="V881" i="1"/>
  <c r="T882" i="1"/>
  <c r="U882" i="1"/>
  <c r="V882" i="1"/>
  <c r="S884" i="1"/>
  <c r="T884" i="1"/>
  <c r="U884" i="1"/>
  <c r="V884" i="1"/>
  <c r="T885" i="1"/>
  <c r="U885" i="1"/>
  <c r="V885" i="1"/>
  <c r="S887" i="1"/>
  <c r="T887" i="1"/>
  <c r="U887" i="1"/>
  <c r="V887" i="1"/>
  <c r="T888" i="1"/>
  <c r="U888" i="1"/>
  <c r="V888" i="1"/>
  <c r="S891" i="1"/>
  <c r="T891" i="1"/>
  <c r="U891" i="1"/>
  <c r="V891" i="1"/>
  <c r="T892" i="1"/>
  <c r="U892" i="1"/>
  <c r="V892" i="1"/>
  <c r="T893" i="1"/>
  <c r="U893" i="1"/>
  <c r="V893" i="1"/>
  <c r="T894" i="1"/>
  <c r="U894" i="1"/>
  <c r="V894" i="1"/>
  <c r="T895" i="1"/>
  <c r="U895" i="1"/>
  <c r="V895" i="1"/>
  <c r="S897" i="1"/>
  <c r="T897" i="1"/>
  <c r="U897" i="1"/>
  <c r="V897" i="1"/>
  <c r="T898" i="1"/>
  <c r="U898" i="1"/>
  <c r="V898" i="1"/>
  <c r="S900" i="1"/>
  <c r="T900" i="1"/>
  <c r="U900" i="1"/>
  <c r="V900" i="1"/>
  <c r="T901" i="1"/>
  <c r="U901" i="1"/>
  <c r="V901" i="1"/>
  <c r="T903" i="1"/>
  <c r="U903" i="1"/>
  <c r="V903" i="1"/>
  <c r="T904" i="1"/>
  <c r="U904" i="1"/>
  <c r="V904" i="1"/>
  <c r="T906" i="1"/>
  <c r="U906" i="1"/>
  <c r="V906" i="1"/>
  <c r="T907" i="1"/>
  <c r="U907" i="1"/>
  <c r="V907" i="1"/>
  <c r="T908" i="1"/>
  <c r="U908" i="1"/>
  <c r="V908" i="1"/>
  <c r="T909" i="1"/>
  <c r="U909" i="1"/>
  <c r="V909" i="1"/>
  <c r="T910" i="1"/>
  <c r="U910" i="1"/>
  <c r="V910" i="1"/>
  <c r="T911" i="1"/>
  <c r="U911" i="1"/>
  <c r="V911" i="1"/>
  <c r="T912" i="1"/>
  <c r="U912" i="1"/>
  <c r="V912" i="1"/>
  <c r="T913" i="1"/>
  <c r="U913" i="1"/>
  <c r="V913" i="1"/>
  <c r="T914" i="1"/>
  <c r="U914" i="1"/>
  <c r="V914" i="1"/>
  <c r="T915" i="1"/>
  <c r="U915" i="1"/>
  <c r="V915" i="1"/>
  <c r="T916" i="1"/>
  <c r="U916" i="1"/>
  <c r="V916" i="1"/>
  <c r="T917" i="1"/>
  <c r="U917" i="1"/>
  <c r="V917" i="1"/>
  <c r="T918" i="1"/>
  <c r="U918" i="1"/>
  <c r="V918" i="1"/>
  <c r="T920" i="1"/>
  <c r="U920" i="1"/>
  <c r="V920" i="1"/>
  <c r="S922" i="1"/>
  <c r="T922" i="1"/>
  <c r="U922" i="1"/>
  <c r="V922" i="1"/>
  <c r="T923" i="1"/>
  <c r="U923" i="1"/>
  <c r="V923" i="1"/>
  <c r="T924" i="1"/>
  <c r="U924" i="1"/>
  <c r="V924" i="1"/>
  <c r="S926" i="1"/>
  <c r="T926" i="1"/>
  <c r="U926" i="1"/>
  <c r="V926" i="1"/>
  <c r="T927" i="1"/>
  <c r="U927" i="1"/>
  <c r="V927" i="1"/>
  <c r="T929" i="1"/>
  <c r="U929" i="1"/>
  <c r="V929" i="1"/>
  <c r="T930" i="1"/>
  <c r="S931" i="1"/>
  <c r="T931" i="1"/>
  <c r="U931" i="1"/>
  <c r="V931" i="1"/>
  <c r="T932" i="1"/>
  <c r="U932" i="1"/>
  <c r="V932" i="1"/>
  <c r="T933" i="1"/>
  <c r="U933" i="1"/>
  <c r="V933" i="1"/>
  <c r="T934" i="1"/>
  <c r="U934" i="1"/>
  <c r="V934" i="1"/>
  <c r="T935" i="1"/>
  <c r="U935" i="1"/>
  <c r="S936" i="1"/>
  <c r="T936" i="1"/>
  <c r="U936" i="1"/>
  <c r="V936" i="1"/>
  <c r="T937" i="1"/>
  <c r="U937" i="1"/>
  <c r="V937" i="1"/>
  <c r="T938" i="1"/>
  <c r="U938" i="1"/>
  <c r="V938" i="1"/>
  <c r="T939" i="1"/>
  <c r="U939" i="1"/>
  <c r="V939" i="1"/>
  <c r="S941" i="1"/>
  <c r="T941" i="1"/>
  <c r="U941" i="1"/>
  <c r="V941" i="1"/>
  <c r="T942" i="1"/>
  <c r="U942" i="1"/>
  <c r="V942" i="1"/>
  <c r="T944" i="1"/>
  <c r="U944" i="1"/>
  <c r="V944" i="1"/>
  <c r="T945" i="1"/>
  <c r="U945" i="1"/>
  <c r="V945" i="1"/>
  <c r="T947" i="1"/>
  <c r="U947" i="1"/>
  <c r="V947" i="1"/>
  <c r="T948" i="1"/>
  <c r="U948" i="1"/>
  <c r="V948" i="1"/>
  <c r="T949" i="1"/>
  <c r="U949" i="1"/>
  <c r="V949" i="1"/>
  <c r="T950" i="1"/>
  <c r="U950" i="1"/>
  <c r="V950" i="1"/>
  <c r="T951" i="1"/>
  <c r="U951" i="1"/>
  <c r="V951" i="1"/>
  <c r="T953" i="1"/>
  <c r="U953" i="1"/>
  <c r="V953" i="1"/>
  <c r="T954" i="1"/>
  <c r="U954" i="1"/>
  <c r="V954" i="1"/>
  <c r="T955" i="1"/>
  <c r="U955" i="1"/>
  <c r="V955" i="1"/>
  <c r="T956" i="1"/>
  <c r="U956" i="1"/>
  <c r="V956" i="1"/>
  <c r="T957" i="1"/>
  <c r="U957" i="1"/>
  <c r="V957" i="1"/>
  <c r="T958" i="1"/>
  <c r="U958" i="1"/>
  <c r="V958" i="1"/>
  <c r="T959" i="1"/>
  <c r="U959" i="1"/>
  <c r="V959" i="1"/>
  <c r="T960" i="1"/>
  <c r="U960" i="1"/>
  <c r="V960" i="1"/>
  <c r="T962" i="1"/>
  <c r="U962" i="1"/>
  <c r="V962" i="1"/>
  <c r="S964" i="1"/>
  <c r="T964" i="1"/>
  <c r="U964" i="1"/>
  <c r="V964" i="1"/>
  <c r="T965" i="1"/>
  <c r="U965" i="1"/>
  <c r="V965" i="1"/>
  <c r="T966" i="1"/>
  <c r="U966" i="1"/>
  <c r="V966" i="1"/>
  <c r="T967" i="1"/>
  <c r="U967" i="1"/>
  <c r="V967" i="1"/>
  <c r="T968" i="1"/>
  <c r="U968" i="1"/>
  <c r="V968" i="1"/>
  <c r="T969" i="1"/>
  <c r="U969" i="1"/>
  <c r="V969" i="1"/>
  <c r="T971" i="1"/>
  <c r="U971" i="1"/>
  <c r="V971" i="1"/>
  <c r="T972" i="1"/>
  <c r="U972" i="1"/>
  <c r="V972" i="1"/>
  <c r="S974" i="1"/>
  <c r="T974" i="1"/>
  <c r="U974" i="1"/>
  <c r="V974" i="1"/>
  <c r="T975" i="1"/>
  <c r="U975" i="1"/>
  <c r="V975" i="1"/>
  <c r="S977" i="1"/>
  <c r="T977" i="1"/>
  <c r="U977" i="1"/>
  <c r="V977" i="1"/>
  <c r="T978" i="1"/>
  <c r="U978" i="1"/>
  <c r="V978" i="1"/>
  <c r="S980" i="1"/>
  <c r="T980" i="1"/>
  <c r="U980" i="1"/>
  <c r="V980" i="1"/>
  <c r="T981" i="1"/>
  <c r="U981" i="1"/>
  <c r="V981" i="1"/>
  <c r="S983" i="1"/>
  <c r="T983" i="1"/>
  <c r="U983" i="1"/>
  <c r="V983" i="1"/>
  <c r="T984" i="1"/>
  <c r="U984" i="1"/>
  <c r="V984" i="1"/>
  <c r="T985" i="1"/>
  <c r="U985" i="1"/>
  <c r="V985" i="1"/>
  <c r="T986" i="1"/>
  <c r="V986" i="1"/>
  <c r="S987" i="1"/>
  <c r="T987" i="1"/>
  <c r="U987" i="1"/>
  <c r="V987" i="1"/>
  <c r="T988" i="1"/>
  <c r="U988" i="1"/>
  <c r="V988" i="1"/>
  <c r="T989" i="1"/>
  <c r="U989" i="1"/>
  <c r="V989" i="1"/>
  <c r="T990" i="1"/>
  <c r="U990" i="1"/>
  <c r="V990" i="1"/>
  <c r="S992" i="1"/>
  <c r="T992" i="1"/>
  <c r="U992" i="1"/>
  <c r="V992" i="1"/>
  <c r="T993" i="1"/>
  <c r="U993" i="1"/>
  <c r="V993" i="1"/>
  <c r="S995" i="1"/>
  <c r="T995" i="1"/>
  <c r="U995" i="1"/>
  <c r="V995" i="1"/>
  <c r="T996" i="1"/>
  <c r="U996" i="1"/>
  <c r="V996" i="1"/>
  <c r="T997" i="1"/>
  <c r="U997" i="1"/>
  <c r="V997" i="1"/>
  <c r="T998" i="1"/>
  <c r="U998" i="1"/>
  <c r="V998" i="1"/>
  <c r="T999" i="1"/>
  <c r="U999" i="1"/>
  <c r="V999" i="1"/>
  <c r="T1000" i="1"/>
  <c r="U1000" i="1"/>
  <c r="V1000" i="1"/>
  <c r="S1002" i="1"/>
  <c r="T1002" i="1"/>
  <c r="U1002" i="1"/>
  <c r="V1002" i="1"/>
  <c r="T1003" i="1"/>
  <c r="U1003" i="1"/>
  <c r="V1003" i="1"/>
  <c r="S1005" i="1"/>
  <c r="T1005" i="1"/>
  <c r="U1005" i="1"/>
  <c r="V1005" i="1"/>
  <c r="T1006" i="1"/>
  <c r="U1006" i="1"/>
  <c r="V1006" i="1"/>
  <c r="T1007" i="1"/>
  <c r="U1007" i="1"/>
  <c r="V1007" i="1"/>
  <c r="S1009" i="1"/>
  <c r="T1009" i="1"/>
  <c r="U1009" i="1"/>
  <c r="V1009" i="1"/>
  <c r="T1010" i="1"/>
  <c r="U1010" i="1"/>
  <c r="V1010" i="1"/>
  <c r="S1012" i="1"/>
  <c r="T1012" i="1"/>
  <c r="U1012" i="1"/>
  <c r="V1012" i="1"/>
  <c r="T1013" i="1"/>
  <c r="U1013" i="1"/>
  <c r="V1013" i="1"/>
  <c r="S1015" i="1"/>
  <c r="T1015" i="1"/>
  <c r="U1015" i="1"/>
  <c r="V1015" i="1"/>
  <c r="T1016" i="1"/>
  <c r="U1016" i="1"/>
  <c r="V1016" i="1"/>
  <c r="S13" i="1"/>
  <c r="T13" i="1"/>
  <c r="U13" i="1"/>
  <c r="V13" i="1"/>
  <c r="T14" i="1"/>
  <c r="U14" i="1"/>
  <c r="V14" i="1"/>
  <c r="S16" i="1"/>
  <c r="T16" i="1"/>
  <c r="U16" i="1"/>
  <c r="V16" i="1"/>
  <c r="T17" i="1"/>
  <c r="U17" i="1"/>
  <c r="V17" i="1"/>
  <c r="S19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S30" i="1"/>
  <c r="T30" i="1"/>
  <c r="U30" i="1"/>
  <c r="V30" i="1"/>
  <c r="T31" i="1"/>
  <c r="U31" i="1"/>
  <c r="V31" i="1"/>
  <c r="S33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S39" i="1"/>
  <c r="T39" i="1"/>
  <c r="U39" i="1"/>
  <c r="V39" i="1"/>
  <c r="T40" i="1"/>
  <c r="U40" i="1"/>
  <c r="V40" i="1"/>
  <c r="T41" i="1"/>
  <c r="U41" i="1"/>
  <c r="V41" i="1"/>
  <c r="T44" i="1"/>
  <c r="U44" i="1"/>
  <c r="T46" i="1"/>
  <c r="V46" i="1"/>
  <c r="T47" i="1"/>
  <c r="V47" i="1"/>
  <c r="T48" i="1"/>
  <c r="V48" i="1"/>
  <c r="T49" i="1"/>
  <c r="V49" i="1"/>
  <c r="T50" i="1"/>
  <c r="V50" i="1"/>
  <c r="T51" i="1"/>
  <c r="V51" i="1"/>
  <c r="T52" i="1"/>
  <c r="U52" i="1"/>
  <c r="V52" i="1"/>
  <c r="U53" i="1"/>
  <c r="V53" i="1"/>
  <c r="T54" i="1"/>
  <c r="U54" i="1"/>
  <c r="U55" i="1"/>
  <c r="V55" i="1"/>
  <c r="T57" i="1"/>
  <c r="V57" i="1"/>
  <c r="T58" i="1"/>
  <c r="V58" i="1"/>
  <c r="T59" i="1"/>
  <c r="V59" i="1"/>
  <c r="T60" i="1"/>
  <c r="V60" i="1"/>
  <c r="T62" i="1"/>
  <c r="V62" i="1"/>
  <c r="T63" i="1"/>
  <c r="V63" i="1"/>
  <c r="T64" i="1"/>
  <c r="V64" i="1"/>
  <c r="T65" i="1"/>
  <c r="V65" i="1"/>
  <c r="T66" i="1"/>
  <c r="V66" i="1"/>
  <c r="T67" i="1"/>
  <c r="V67" i="1"/>
  <c r="T68" i="1"/>
  <c r="V68" i="1"/>
  <c r="T69" i="1"/>
  <c r="V69" i="1"/>
  <c r="T70" i="1"/>
  <c r="V70" i="1"/>
  <c r="T71" i="1"/>
  <c r="V71" i="1"/>
  <c r="T72" i="1"/>
  <c r="U72" i="1"/>
  <c r="T73" i="1"/>
  <c r="U73" i="1"/>
  <c r="T75" i="1"/>
  <c r="U75" i="1"/>
  <c r="T76" i="1"/>
  <c r="V76" i="1"/>
  <c r="T77" i="1"/>
  <c r="V77" i="1"/>
  <c r="T78" i="1"/>
  <c r="V78" i="1"/>
  <c r="T79" i="1"/>
  <c r="V79" i="1"/>
  <c r="T80" i="1"/>
  <c r="V80" i="1"/>
  <c r="U82" i="1"/>
  <c r="V82" i="1"/>
  <c r="T83" i="1"/>
  <c r="V83" i="1"/>
  <c r="T84" i="1"/>
  <c r="U84" i="1"/>
  <c r="V84" i="1"/>
  <c r="T87" i="1"/>
  <c r="U87" i="1"/>
  <c r="V87" i="1"/>
  <c r="U303" i="1" l="1"/>
  <c r="N418" i="1" l="1"/>
  <c r="N417" i="1"/>
  <c r="I418" i="1"/>
  <c r="I417" i="1"/>
  <c r="F413" i="1"/>
  <c r="G413" i="1"/>
  <c r="H413" i="1"/>
  <c r="J413" i="1"/>
  <c r="K413" i="1"/>
  <c r="L413" i="1"/>
  <c r="M413" i="1"/>
  <c r="O413" i="1"/>
  <c r="P413" i="1"/>
  <c r="Q413" i="1"/>
  <c r="R413" i="1"/>
  <c r="E413" i="1"/>
  <c r="D417" i="1"/>
  <c r="D418" i="1"/>
  <c r="T413" i="1" l="1"/>
  <c r="S418" i="1"/>
  <c r="V413" i="1"/>
  <c r="U413" i="1"/>
  <c r="S417" i="1"/>
  <c r="O45" i="1"/>
  <c r="P45" i="1"/>
  <c r="Q45" i="1"/>
  <c r="R45" i="1"/>
  <c r="F45" i="1"/>
  <c r="G45" i="1"/>
  <c r="H45" i="1"/>
  <c r="J45" i="1"/>
  <c r="L45" i="1"/>
  <c r="M45" i="1"/>
  <c r="E45" i="1"/>
  <c r="F982" i="1"/>
  <c r="E963" i="1"/>
  <c r="E921" i="1"/>
  <c r="E876" i="1"/>
  <c r="V45" i="1" l="1"/>
  <c r="T45" i="1"/>
  <c r="H271" i="1"/>
  <c r="G271" i="1"/>
  <c r="F271" i="1"/>
  <c r="E271" i="1"/>
  <c r="Q371" i="1"/>
  <c r="P371" i="1"/>
  <c r="O371" i="1"/>
  <c r="J371" i="1"/>
  <c r="L371" i="1"/>
  <c r="K371" i="1"/>
  <c r="K368" i="1"/>
  <c r="K364" i="1"/>
  <c r="M346" i="1"/>
  <c r="J341" i="1"/>
  <c r="J159" i="1"/>
  <c r="T159" i="1" s="1"/>
  <c r="R203" i="1"/>
  <c r="Q203" i="1"/>
  <c r="O203" i="1"/>
  <c r="M203" i="1"/>
  <c r="J203" i="1"/>
  <c r="N270" i="1"/>
  <c r="I270" i="1"/>
  <c r="N269" i="1"/>
  <c r="I269" i="1"/>
  <c r="N268" i="1"/>
  <c r="I268" i="1"/>
  <c r="N267" i="1"/>
  <c r="I267" i="1"/>
  <c r="N266" i="1"/>
  <c r="I266" i="1"/>
  <c r="N265" i="1"/>
  <c r="I265" i="1"/>
  <c r="N264" i="1"/>
  <c r="I264" i="1"/>
  <c r="N263" i="1"/>
  <c r="I263" i="1"/>
  <c r="N262" i="1"/>
  <c r="I262" i="1"/>
  <c r="N261" i="1"/>
  <c r="I261" i="1"/>
  <c r="N260" i="1"/>
  <c r="I260" i="1"/>
  <c r="N259" i="1"/>
  <c r="I259" i="1"/>
  <c r="N258" i="1"/>
  <c r="I258" i="1"/>
  <c r="N257" i="1"/>
  <c r="I257" i="1"/>
  <c r="N256" i="1"/>
  <c r="I256" i="1"/>
  <c r="N255" i="1"/>
  <c r="I255" i="1"/>
  <c r="N254" i="1"/>
  <c r="I254" i="1"/>
  <c r="N253" i="1"/>
  <c r="I253" i="1"/>
  <c r="N252" i="1"/>
  <c r="I252" i="1"/>
  <c r="N251" i="1"/>
  <c r="I251" i="1"/>
  <c r="N250" i="1"/>
  <c r="I250" i="1"/>
  <c r="N249" i="1"/>
  <c r="I249" i="1"/>
  <c r="N248" i="1"/>
  <c r="I248" i="1"/>
  <c r="N247" i="1"/>
  <c r="I247" i="1"/>
  <c r="N246" i="1"/>
  <c r="I246" i="1"/>
  <c r="N245" i="1"/>
  <c r="I245" i="1"/>
  <c r="N244" i="1"/>
  <c r="I244" i="1"/>
  <c r="N243" i="1"/>
  <c r="I243" i="1"/>
  <c r="N242" i="1"/>
  <c r="I242" i="1"/>
  <c r="N241" i="1"/>
  <c r="I241" i="1"/>
  <c r="N240" i="1"/>
  <c r="I240" i="1"/>
  <c r="N239" i="1"/>
  <c r="I239" i="1"/>
  <c r="N238" i="1"/>
  <c r="I238" i="1"/>
  <c r="N237" i="1"/>
  <c r="I237" i="1"/>
  <c r="N236" i="1"/>
  <c r="I236" i="1"/>
  <c r="N235" i="1"/>
  <c r="I235" i="1"/>
  <c r="N234" i="1"/>
  <c r="I234" i="1"/>
  <c r="N233" i="1"/>
  <c r="I233" i="1"/>
  <c r="N232" i="1"/>
  <c r="I232" i="1"/>
  <c r="N231" i="1"/>
  <c r="I231" i="1"/>
  <c r="N230" i="1"/>
  <c r="I230" i="1"/>
  <c r="N229" i="1"/>
  <c r="L229" i="1"/>
  <c r="N228" i="1"/>
  <c r="I228" i="1"/>
  <c r="N227" i="1"/>
  <c r="I227" i="1"/>
  <c r="N226" i="1"/>
  <c r="I226" i="1"/>
  <c r="N225" i="1"/>
  <c r="I225" i="1"/>
  <c r="N224" i="1"/>
  <c r="I224" i="1"/>
  <c r="N223" i="1"/>
  <c r="I223" i="1"/>
  <c r="N222" i="1"/>
  <c r="I222" i="1"/>
  <c r="N221" i="1"/>
  <c r="I221" i="1"/>
  <c r="N220" i="1"/>
  <c r="I220" i="1"/>
  <c r="N219" i="1"/>
  <c r="I219" i="1"/>
  <c r="N218" i="1"/>
  <c r="I218" i="1"/>
  <c r="N217" i="1"/>
  <c r="I217" i="1"/>
  <c r="N216" i="1"/>
  <c r="I216" i="1"/>
  <c r="P215" i="1"/>
  <c r="N215" i="1" s="1"/>
  <c r="K215" i="1"/>
  <c r="N214" i="1"/>
  <c r="I214" i="1"/>
  <c r="N213" i="1"/>
  <c r="I213" i="1"/>
  <c r="N212" i="1"/>
  <c r="I212" i="1"/>
  <c r="N211" i="1"/>
  <c r="I211" i="1"/>
  <c r="N210" i="1"/>
  <c r="I210" i="1"/>
  <c r="N209" i="1"/>
  <c r="I209" i="1"/>
  <c r="N208" i="1"/>
  <c r="I208" i="1"/>
  <c r="N207" i="1"/>
  <c r="I207" i="1"/>
  <c r="N206" i="1"/>
  <c r="I206" i="1"/>
  <c r="N205" i="1"/>
  <c r="I205" i="1"/>
  <c r="N204" i="1"/>
  <c r="I204" i="1"/>
  <c r="K152" i="1"/>
  <c r="U152" i="1" s="1"/>
  <c r="K118" i="1"/>
  <c r="U118" i="1" s="1"/>
  <c r="S223" i="1" l="1"/>
  <c r="S233" i="1"/>
  <c r="U371" i="1"/>
  <c r="V371" i="1"/>
  <c r="S207" i="1"/>
  <c r="S216" i="1"/>
  <c r="S227" i="1"/>
  <c r="S235" i="1"/>
  <c r="S239" i="1"/>
  <c r="S253" i="1"/>
  <c r="T341" i="1"/>
  <c r="S206" i="1"/>
  <c r="S217" i="1"/>
  <c r="S219" i="1"/>
  <c r="S224" i="1"/>
  <c r="S226" i="1"/>
  <c r="S231" i="1"/>
  <c r="S234" i="1"/>
  <c r="S236" i="1"/>
  <c r="S238" i="1"/>
  <c r="S241" i="1"/>
  <c r="S246" i="1"/>
  <c r="S252" i="1"/>
  <c r="S254" i="1"/>
  <c r="U364" i="1"/>
  <c r="T371" i="1"/>
  <c r="S205" i="1"/>
  <c r="S218" i="1"/>
  <c r="S225" i="1"/>
  <c r="S237" i="1"/>
  <c r="S242" i="1"/>
  <c r="S250" i="1"/>
  <c r="U368" i="1"/>
  <c r="I215" i="1"/>
  <c r="U215" i="1"/>
  <c r="S208" i="1"/>
  <c r="S210" i="1"/>
  <c r="S212" i="1"/>
  <c r="S214" i="1"/>
  <c r="S221" i="1"/>
  <c r="S228" i="1"/>
  <c r="S230" i="1"/>
  <c r="S240" i="1"/>
  <c r="S243" i="1"/>
  <c r="S245" i="1"/>
  <c r="S248" i="1"/>
  <c r="S251" i="1"/>
  <c r="S256" i="1"/>
  <c r="S258" i="1"/>
  <c r="S260" i="1"/>
  <c r="S262" i="1"/>
  <c r="S264" i="1"/>
  <c r="S266" i="1"/>
  <c r="S268" i="1"/>
  <c r="S270" i="1"/>
  <c r="S204" i="1"/>
  <c r="S209" i="1"/>
  <c r="S211" i="1"/>
  <c r="S213" i="1"/>
  <c r="S220" i="1"/>
  <c r="S222" i="1"/>
  <c r="I229" i="1"/>
  <c r="V229" i="1"/>
  <c r="S232" i="1"/>
  <c r="S244" i="1"/>
  <c r="S247" i="1"/>
  <c r="S249" i="1"/>
  <c r="S255" i="1"/>
  <c r="S257" i="1"/>
  <c r="S259" i="1"/>
  <c r="S261" i="1"/>
  <c r="S263" i="1"/>
  <c r="S265" i="1"/>
  <c r="S267" i="1"/>
  <c r="S269" i="1"/>
  <c r="T203" i="1"/>
  <c r="M344" i="1"/>
  <c r="P203" i="1"/>
  <c r="N203" i="1" s="1"/>
  <c r="D271" i="1"/>
  <c r="L203" i="1"/>
  <c r="K203" i="1"/>
  <c r="U203" i="1" l="1"/>
  <c r="S229" i="1"/>
  <c r="S215" i="1"/>
  <c r="V203" i="1"/>
  <c r="I203" i="1"/>
  <c r="S203" i="1" l="1"/>
  <c r="F963" i="1"/>
  <c r="G963" i="1"/>
  <c r="H963" i="1"/>
  <c r="D967" i="1"/>
  <c r="I967" i="1"/>
  <c r="N967" i="1"/>
  <c r="R970" i="1"/>
  <c r="Q970" i="1"/>
  <c r="P970" i="1"/>
  <c r="O970" i="1"/>
  <c r="K970" i="1"/>
  <c r="L970" i="1"/>
  <c r="M970" i="1"/>
  <c r="J970" i="1"/>
  <c r="N972" i="1"/>
  <c r="I972" i="1"/>
  <c r="S972" i="1" l="1"/>
  <c r="S971" i="1"/>
  <c r="L963" i="1"/>
  <c r="V970" i="1"/>
  <c r="K963" i="1"/>
  <c r="U970" i="1"/>
  <c r="J963" i="1"/>
  <c r="T970" i="1"/>
  <c r="M963" i="1"/>
  <c r="S967" i="1"/>
  <c r="I970" i="1"/>
  <c r="P963" i="1"/>
  <c r="Q963" i="1"/>
  <c r="R963" i="1"/>
  <c r="O963" i="1"/>
  <c r="N1003" i="1"/>
  <c r="I1003" i="1"/>
  <c r="D1003" i="1"/>
  <c r="D1001" i="1" s="1"/>
  <c r="R1001" i="1"/>
  <c r="Q1001" i="1"/>
  <c r="P1001" i="1"/>
  <c r="O1001" i="1"/>
  <c r="M1001" i="1"/>
  <c r="L1001" i="1"/>
  <c r="K1001" i="1"/>
  <c r="J1001" i="1"/>
  <c r="H1001" i="1"/>
  <c r="G1001" i="1"/>
  <c r="F1001" i="1"/>
  <c r="E1001" i="1"/>
  <c r="R921" i="1"/>
  <c r="Q921" i="1"/>
  <c r="P921" i="1"/>
  <c r="O921" i="1"/>
  <c r="M921" i="1"/>
  <c r="L921" i="1"/>
  <c r="K921" i="1"/>
  <c r="J921" i="1"/>
  <c r="F921" i="1"/>
  <c r="G921" i="1"/>
  <c r="H921" i="1"/>
  <c r="D924" i="1"/>
  <c r="I924" i="1"/>
  <c r="N924" i="1"/>
  <c r="I920" i="1"/>
  <c r="J800" i="1"/>
  <c r="L784" i="1"/>
  <c r="K679" i="1"/>
  <c r="K668" i="1"/>
  <c r="M503" i="1"/>
  <c r="K477" i="1"/>
  <c r="N875" i="1"/>
  <c r="I875" i="1"/>
  <c r="D875" i="1"/>
  <c r="R874" i="1"/>
  <c r="Q874" i="1"/>
  <c r="P874" i="1"/>
  <c r="O874" i="1"/>
  <c r="M874" i="1"/>
  <c r="L874" i="1"/>
  <c r="K874" i="1"/>
  <c r="J874" i="1"/>
  <c r="H874" i="1"/>
  <c r="G874" i="1"/>
  <c r="F874" i="1"/>
  <c r="E874" i="1"/>
  <c r="N873" i="1"/>
  <c r="I873" i="1"/>
  <c r="D873" i="1"/>
  <c r="N872" i="1"/>
  <c r="I872" i="1"/>
  <c r="D872" i="1"/>
  <c r="R871" i="1"/>
  <c r="Q871" i="1"/>
  <c r="P871" i="1"/>
  <c r="O871" i="1"/>
  <c r="M871" i="1"/>
  <c r="L871" i="1"/>
  <c r="K871" i="1"/>
  <c r="J871" i="1"/>
  <c r="H871" i="1"/>
  <c r="G871" i="1"/>
  <c r="F871" i="1"/>
  <c r="E871" i="1"/>
  <c r="N870" i="1"/>
  <c r="I870" i="1"/>
  <c r="D870" i="1"/>
  <c r="R869" i="1"/>
  <c r="Q869" i="1"/>
  <c r="P869" i="1"/>
  <c r="O869" i="1"/>
  <c r="M869" i="1"/>
  <c r="L869" i="1"/>
  <c r="K869" i="1"/>
  <c r="J869" i="1"/>
  <c r="H869" i="1"/>
  <c r="G869" i="1"/>
  <c r="F869" i="1"/>
  <c r="E869" i="1"/>
  <c r="N868" i="1"/>
  <c r="M868" i="1"/>
  <c r="D868" i="1"/>
  <c r="R867" i="1"/>
  <c r="Q867" i="1"/>
  <c r="P867" i="1"/>
  <c r="O867" i="1"/>
  <c r="L867" i="1"/>
  <c r="K867" i="1"/>
  <c r="J867" i="1"/>
  <c r="H867" i="1"/>
  <c r="G867" i="1"/>
  <c r="F867" i="1"/>
  <c r="E867" i="1"/>
  <c r="N866" i="1"/>
  <c r="I866" i="1"/>
  <c r="D866" i="1"/>
  <c r="R865" i="1"/>
  <c r="Q865" i="1"/>
  <c r="P865" i="1"/>
  <c r="O865" i="1"/>
  <c r="M865" i="1"/>
  <c r="L865" i="1"/>
  <c r="K865" i="1"/>
  <c r="J865" i="1"/>
  <c r="H865" i="1"/>
  <c r="G865" i="1"/>
  <c r="F865" i="1"/>
  <c r="E865" i="1"/>
  <c r="N864" i="1"/>
  <c r="I864" i="1"/>
  <c r="D864" i="1"/>
  <c r="R863" i="1"/>
  <c r="Q863" i="1"/>
  <c r="P863" i="1"/>
  <c r="O863" i="1"/>
  <c r="M863" i="1"/>
  <c r="L863" i="1"/>
  <c r="K863" i="1"/>
  <c r="J863" i="1"/>
  <c r="H863" i="1"/>
  <c r="G863" i="1"/>
  <c r="F863" i="1"/>
  <c r="E863" i="1"/>
  <c r="N862" i="1"/>
  <c r="I862" i="1"/>
  <c r="D862" i="1"/>
  <c r="R861" i="1"/>
  <c r="Q861" i="1"/>
  <c r="P861" i="1"/>
  <c r="O861" i="1"/>
  <c r="M861" i="1"/>
  <c r="L861" i="1"/>
  <c r="K861" i="1"/>
  <c r="J861" i="1"/>
  <c r="H861" i="1"/>
  <c r="G861" i="1"/>
  <c r="F861" i="1"/>
  <c r="E861" i="1"/>
  <c r="N858" i="1"/>
  <c r="I858" i="1"/>
  <c r="D858" i="1"/>
  <c r="R857" i="1"/>
  <c r="Q857" i="1"/>
  <c r="P857" i="1"/>
  <c r="O857" i="1"/>
  <c r="M857" i="1"/>
  <c r="L857" i="1"/>
  <c r="K857" i="1"/>
  <c r="J857" i="1"/>
  <c r="H857" i="1"/>
  <c r="G857" i="1"/>
  <c r="F857" i="1"/>
  <c r="E857" i="1"/>
  <c r="N856" i="1"/>
  <c r="I856" i="1"/>
  <c r="D856" i="1"/>
  <c r="N855" i="1"/>
  <c r="I855" i="1"/>
  <c r="D855" i="1"/>
  <c r="R854" i="1"/>
  <c r="Q854" i="1"/>
  <c r="P854" i="1"/>
  <c r="O854" i="1"/>
  <c r="M854" i="1"/>
  <c r="L854" i="1"/>
  <c r="K854" i="1"/>
  <c r="J854" i="1"/>
  <c r="H854" i="1"/>
  <c r="G854" i="1"/>
  <c r="F854" i="1"/>
  <c r="E854" i="1"/>
  <c r="N853" i="1"/>
  <c r="I853" i="1"/>
  <c r="D853" i="1"/>
  <c r="N852" i="1"/>
  <c r="I852" i="1"/>
  <c r="D852" i="1"/>
  <c r="R851" i="1"/>
  <c r="Q851" i="1"/>
  <c r="P851" i="1"/>
  <c r="O851" i="1"/>
  <c r="M851" i="1"/>
  <c r="L851" i="1"/>
  <c r="K851" i="1"/>
  <c r="J851" i="1"/>
  <c r="H851" i="1"/>
  <c r="G851" i="1"/>
  <c r="F851" i="1"/>
  <c r="E851" i="1"/>
  <c r="N850" i="1"/>
  <c r="I850" i="1"/>
  <c r="D850" i="1"/>
  <c r="N849" i="1"/>
  <c r="I849" i="1"/>
  <c r="D849" i="1"/>
  <c r="N848" i="1"/>
  <c r="I848" i="1"/>
  <c r="D848" i="1"/>
  <c r="N847" i="1"/>
  <c r="I847" i="1"/>
  <c r="D847" i="1"/>
  <c r="R846" i="1"/>
  <c r="Q846" i="1"/>
  <c r="P846" i="1"/>
  <c r="O846" i="1"/>
  <c r="M846" i="1"/>
  <c r="L846" i="1"/>
  <c r="K846" i="1"/>
  <c r="J846" i="1"/>
  <c r="H846" i="1"/>
  <c r="G846" i="1"/>
  <c r="F846" i="1"/>
  <c r="E846" i="1"/>
  <c r="N845" i="1"/>
  <c r="I845" i="1"/>
  <c r="D845" i="1"/>
  <c r="N844" i="1"/>
  <c r="I844" i="1"/>
  <c r="D844" i="1"/>
  <c r="N843" i="1"/>
  <c r="I843" i="1"/>
  <c r="D843" i="1"/>
  <c r="N842" i="1"/>
  <c r="I842" i="1"/>
  <c r="D842" i="1"/>
  <c r="R841" i="1"/>
  <c r="Q841" i="1"/>
  <c r="P841" i="1"/>
  <c r="O841" i="1"/>
  <c r="M841" i="1"/>
  <c r="L841" i="1"/>
  <c r="K841" i="1"/>
  <c r="J841" i="1"/>
  <c r="H841" i="1"/>
  <c r="G841" i="1"/>
  <c r="F841" i="1"/>
  <c r="E841" i="1"/>
  <c r="N838" i="1"/>
  <c r="I838" i="1"/>
  <c r="D838" i="1"/>
  <c r="R837" i="1"/>
  <c r="Q837" i="1"/>
  <c r="P837" i="1"/>
  <c r="O837" i="1"/>
  <c r="M837" i="1"/>
  <c r="L837" i="1"/>
  <c r="K837" i="1"/>
  <c r="J837" i="1"/>
  <c r="H837" i="1"/>
  <c r="G837" i="1"/>
  <c r="F837" i="1"/>
  <c r="E837" i="1"/>
  <c r="N836" i="1"/>
  <c r="I836" i="1"/>
  <c r="D836" i="1"/>
  <c r="N835" i="1"/>
  <c r="I835" i="1"/>
  <c r="D835" i="1"/>
  <c r="N834" i="1"/>
  <c r="I834" i="1"/>
  <c r="D834" i="1"/>
  <c r="N833" i="1"/>
  <c r="I833" i="1"/>
  <c r="D833" i="1"/>
  <c r="N832" i="1"/>
  <c r="I832" i="1"/>
  <c r="D832" i="1"/>
  <c r="R831" i="1"/>
  <c r="Q831" i="1"/>
  <c r="P831" i="1"/>
  <c r="O831" i="1"/>
  <c r="M831" i="1"/>
  <c r="L831" i="1"/>
  <c r="K831" i="1"/>
  <c r="J831" i="1"/>
  <c r="H831" i="1"/>
  <c r="G831" i="1"/>
  <c r="F831" i="1"/>
  <c r="E831" i="1"/>
  <c r="N830" i="1"/>
  <c r="I830" i="1"/>
  <c r="D830" i="1"/>
  <c r="R829" i="1"/>
  <c r="Q829" i="1"/>
  <c r="P829" i="1"/>
  <c r="O829" i="1"/>
  <c r="M829" i="1"/>
  <c r="L829" i="1"/>
  <c r="K829" i="1"/>
  <c r="J829" i="1"/>
  <c r="H829" i="1"/>
  <c r="G829" i="1"/>
  <c r="F829" i="1"/>
  <c r="E829" i="1"/>
  <c r="N828" i="1"/>
  <c r="I828" i="1"/>
  <c r="D828" i="1"/>
  <c r="N827" i="1"/>
  <c r="I827" i="1"/>
  <c r="D827" i="1"/>
  <c r="N826" i="1"/>
  <c r="I826" i="1"/>
  <c r="D826" i="1"/>
  <c r="N825" i="1"/>
  <c r="I825" i="1"/>
  <c r="D825" i="1"/>
  <c r="N824" i="1"/>
  <c r="I824" i="1"/>
  <c r="D824" i="1"/>
  <c r="R823" i="1"/>
  <c r="Q823" i="1"/>
  <c r="P823" i="1"/>
  <c r="O823" i="1"/>
  <c r="M823" i="1"/>
  <c r="L823" i="1"/>
  <c r="K823" i="1"/>
  <c r="J823" i="1"/>
  <c r="H823" i="1"/>
  <c r="G823" i="1"/>
  <c r="F823" i="1"/>
  <c r="E823" i="1"/>
  <c r="N822" i="1"/>
  <c r="I822" i="1"/>
  <c r="D822" i="1"/>
  <c r="N821" i="1"/>
  <c r="I821" i="1"/>
  <c r="D821" i="1"/>
  <c r="R820" i="1"/>
  <c r="Q820" i="1"/>
  <c r="P820" i="1"/>
  <c r="O820" i="1"/>
  <c r="M820" i="1"/>
  <c r="L820" i="1"/>
  <c r="K820" i="1"/>
  <c r="J820" i="1"/>
  <c r="H820" i="1"/>
  <c r="G820" i="1"/>
  <c r="F820" i="1"/>
  <c r="E820" i="1"/>
  <c r="N819" i="1"/>
  <c r="I819" i="1"/>
  <c r="D819" i="1"/>
  <c r="N818" i="1"/>
  <c r="I818" i="1"/>
  <c r="D818" i="1"/>
  <c r="N817" i="1"/>
  <c r="I817" i="1"/>
  <c r="D817" i="1"/>
  <c r="N816" i="1"/>
  <c r="I816" i="1"/>
  <c r="D816" i="1"/>
  <c r="R815" i="1"/>
  <c r="Q815" i="1"/>
  <c r="P815" i="1"/>
  <c r="O815" i="1"/>
  <c r="M815" i="1"/>
  <c r="L815" i="1"/>
  <c r="K815" i="1"/>
  <c r="J815" i="1"/>
  <c r="H815" i="1"/>
  <c r="G815" i="1"/>
  <c r="F815" i="1"/>
  <c r="E815" i="1"/>
  <c r="N812" i="1"/>
  <c r="I812" i="1"/>
  <c r="D812" i="1"/>
  <c r="R811" i="1"/>
  <c r="Q811" i="1"/>
  <c r="P811" i="1"/>
  <c r="O811" i="1"/>
  <c r="M811" i="1"/>
  <c r="L811" i="1"/>
  <c r="K811" i="1"/>
  <c r="J811" i="1"/>
  <c r="H811" i="1"/>
  <c r="G811" i="1"/>
  <c r="F811" i="1"/>
  <c r="E811" i="1"/>
  <c r="N810" i="1"/>
  <c r="I810" i="1"/>
  <c r="D810" i="1"/>
  <c r="R809" i="1"/>
  <c r="Q809" i="1"/>
  <c r="P809" i="1"/>
  <c r="O809" i="1"/>
  <c r="M809" i="1"/>
  <c r="L809" i="1"/>
  <c r="K809" i="1"/>
  <c r="J809" i="1"/>
  <c r="H809" i="1"/>
  <c r="G809" i="1"/>
  <c r="F809" i="1"/>
  <c r="E809" i="1"/>
  <c r="N806" i="1"/>
  <c r="I806" i="1"/>
  <c r="D806" i="1"/>
  <c r="N805" i="1"/>
  <c r="I805" i="1"/>
  <c r="D805" i="1"/>
  <c r="R804" i="1"/>
  <c r="Q804" i="1"/>
  <c r="P804" i="1"/>
  <c r="O804" i="1"/>
  <c r="M804" i="1"/>
  <c r="L804" i="1"/>
  <c r="K804" i="1"/>
  <c r="J804" i="1"/>
  <c r="H804" i="1"/>
  <c r="G804" i="1"/>
  <c r="F804" i="1"/>
  <c r="E804" i="1"/>
  <c r="N803" i="1"/>
  <c r="I803" i="1"/>
  <c r="D803" i="1"/>
  <c r="N802" i="1"/>
  <c r="I802" i="1"/>
  <c r="D802" i="1"/>
  <c r="N801" i="1"/>
  <c r="I801" i="1"/>
  <c r="D801" i="1"/>
  <c r="R800" i="1"/>
  <c r="Q800" i="1"/>
  <c r="P800" i="1"/>
  <c r="O800" i="1"/>
  <c r="M800" i="1"/>
  <c r="L800" i="1"/>
  <c r="K800" i="1"/>
  <c r="H800" i="1"/>
  <c r="G800" i="1"/>
  <c r="F800" i="1"/>
  <c r="E800" i="1"/>
  <c r="N799" i="1"/>
  <c r="I799" i="1"/>
  <c r="D799" i="1"/>
  <c r="N798" i="1"/>
  <c r="I798" i="1"/>
  <c r="D798" i="1"/>
  <c r="N797" i="1"/>
  <c r="I797" i="1"/>
  <c r="D797" i="1"/>
  <c r="N796" i="1"/>
  <c r="I796" i="1"/>
  <c r="D796" i="1"/>
  <c r="N795" i="1"/>
  <c r="I795" i="1"/>
  <c r="D795" i="1"/>
  <c r="N794" i="1"/>
  <c r="I794" i="1"/>
  <c r="D794" i="1"/>
  <c r="N793" i="1"/>
  <c r="I793" i="1"/>
  <c r="D793" i="1"/>
  <c r="N792" i="1"/>
  <c r="I792" i="1"/>
  <c r="D792" i="1"/>
  <c r="N791" i="1"/>
  <c r="I791" i="1"/>
  <c r="D791" i="1"/>
  <c r="N790" i="1"/>
  <c r="I790" i="1"/>
  <c r="D790" i="1"/>
  <c r="N789" i="1"/>
  <c r="I789" i="1"/>
  <c r="D789" i="1"/>
  <c r="N788" i="1"/>
  <c r="I788" i="1"/>
  <c r="D788" i="1"/>
  <c r="N787" i="1"/>
  <c r="I787" i="1"/>
  <c r="D787" i="1"/>
  <c r="N786" i="1"/>
  <c r="I786" i="1"/>
  <c r="D786" i="1"/>
  <c r="N785" i="1"/>
  <c r="I785" i="1"/>
  <c r="D785" i="1"/>
  <c r="R784" i="1"/>
  <c r="Q784" i="1"/>
  <c r="P784" i="1"/>
  <c r="O784" i="1"/>
  <c r="M784" i="1"/>
  <c r="K784" i="1"/>
  <c r="J784" i="1"/>
  <c r="H784" i="1"/>
  <c r="G784" i="1"/>
  <c r="F784" i="1"/>
  <c r="E784" i="1"/>
  <c r="N783" i="1"/>
  <c r="I783" i="1"/>
  <c r="D783" i="1"/>
  <c r="N782" i="1"/>
  <c r="I782" i="1"/>
  <c r="D782" i="1"/>
  <c r="N781" i="1"/>
  <c r="I781" i="1"/>
  <c r="D781" i="1"/>
  <c r="R780" i="1"/>
  <c r="Q780" i="1"/>
  <c r="P780" i="1"/>
  <c r="O780" i="1"/>
  <c r="M780" i="1"/>
  <c r="L780" i="1"/>
  <c r="K780" i="1"/>
  <c r="J780" i="1"/>
  <c r="H780" i="1"/>
  <c r="G780" i="1"/>
  <c r="F780" i="1"/>
  <c r="E780" i="1"/>
  <c r="N779" i="1"/>
  <c r="I779" i="1"/>
  <c r="D779" i="1"/>
  <c r="N778" i="1"/>
  <c r="I778" i="1"/>
  <c r="D778" i="1"/>
  <c r="R777" i="1"/>
  <c r="Q777" i="1"/>
  <c r="P777" i="1"/>
  <c r="O777" i="1"/>
  <c r="M777" i="1"/>
  <c r="L777" i="1"/>
  <c r="K777" i="1"/>
  <c r="J777" i="1"/>
  <c r="H777" i="1"/>
  <c r="G777" i="1"/>
  <c r="F777" i="1"/>
  <c r="E777" i="1"/>
  <c r="N776" i="1"/>
  <c r="I776" i="1"/>
  <c r="D776" i="1"/>
  <c r="N775" i="1"/>
  <c r="I775" i="1"/>
  <c r="D775" i="1"/>
  <c r="R774" i="1"/>
  <c r="Q774" i="1"/>
  <c r="P774" i="1"/>
  <c r="O774" i="1"/>
  <c r="M774" i="1"/>
  <c r="L774" i="1"/>
  <c r="K774" i="1"/>
  <c r="J774" i="1"/>
  <c r="H774" i="1"/>
  <c r="G774" i="1"/>
  <c r="F774" i="1"/>
  <c r="E774" i="1"/>
  <c r="N773" i="1"/>
  <c r="I773" i="1"/>
  <c r="D773" i="1"/>
  <c r="N772" i="1"/>
  <c r="I772" i="1"/>
  <c r="D772" i="1"/>
  <c r="N771" i="1"/>
  <c r="I771" i="1"/>
  <c r="D771" i="1"/>
  <c r="R770" i="1"/>
  <c r="Q770" i="1"/>
  <c r="P770" i="1"/>
  <c r="O770" i="1"/>
  <c r="M770" i="1"/>
  <c r="L770" i="1"/>
  <c r="K770" i="1"/>
  <c r="J770" i="1"/>
  <c r="H770" i="1"/>
  <c r="G770" i="1"/>
  <c r="F770" i="1"/>
  <c r="E770" i="1"/>
  <c r="N769" i="1"/>
  <c r="I769" i="1"/>
  <c r="D769" i="1"/>
  <c r="R768" i="1"/>
  <c r="Q768" i="1"/>
  <c r="P768" i="1"/>
  <c r="O768" i="1"/>
  <c r="M768" i="1"/>
  <c r="L768" i="1"/>
  <c r="K768" i="1"/>
  <c r="J768" i="1"/>
  <c r="H768" i="1"/>
  <c r="G768" i="1"/>
  <c r="F768" i="1"/>
  <c r="E768" i="1"/>
  <c r="N767" i="1"/>
  <c r="I767" i="1"/>
  <c r="D767" i="1"/>
  <c r="R766" i="1"/>
  <c r="Q766" i="1"/>
  <c r="P766" i="1"/>
  <c r="O766" i="1"/>
  <c r="M766" i="1"/>
  <c r="L766" i="1"/>
  <c r="K766" i="1"/>
  <c r="J766" i="1"/>
  <c r="H766" i="1"/>
  <c r="G766" i="1"/>
  <c r="F766" i="1"/>
  <c r="E766" i="1"/>
  <c r="N765" i="1"/>
  <c r="I765" i="1"/>
  <c r="D765" i="1"/>
  <c r="N764" i="1"/>
  <c r="I764" i="1"/>
  <c r="D764" i="1"/>
  <c r="R763" i="1"/>
  <c r="Q763" i="1"/>
  <c r="P763" i="1"/>
  <c r="O763" i="1"/>
  <c r="M763" i="1"/>
  <c r="L763" i="1"/>
  <c r="K763" i="1"/>
  <c r="J763" i="1"/>
  <c r="H763" i="1"/>
  <c r="G763" i="1"/>
  <c r="F763" i="1"/>
  <c r="E763" i="1"/>
  <c r="N760" i="1"/>
  <c r="I760" i="1"/>
  <c r="D760" i="1"/>
  <c r="N759" i="1"/>
  <c r="I759" i="1"/>
  <c r="D759" i="1"/>
  <c r="R758" i="1"/>
  <c r="Q758" i="1"/>
  <c r="P758" i="1"/>
  <c r="O758" i="1"/>
  <c r="M758" i="1"/>
  <c r="L758" i="1"/>
  <c r="K758" i="1"/>
  <c r="J758" i="1"/>
  <c r="H758" i="1"/>
  <c r="G758" i="1"/>
  <c r="F758" i="1"/>
  <c r="E758" i="1"/>
  <c r="N757" i="1"/>
  <c r="I757" i="1"/>
  <c r="D757" i="1"/>
  <c r="R756" i="1"/>
  <c r="Q756" i="1"/>
  <c r="P756" i="1"/>
  <c r="O756" i="1"/>
  <c r="M756" i="1"/>
  <c r="L756" i="1"/>
  <c r="K756" i="1"/>
  <c r="J756" i="1"/>
  <c r="H756" i="1"/>
  <c r="G756" i="1"/>
  <c r="F756" i="1"/>
  <c r="E756" i="1"/>
  <c r="N753" i="1"/>
  <c r="I753" i="1"/>
  <c r="D753" i="1"/>
  <c r="N752" i="1"/>
  <c r="I752" i="1"/>
  <c r="D752" i="1"/>
  <c r="N751" i="1"/>
  <c r="I751" i="1"/>
  <c r="D751" i="1"/>
  <c r="N750" i="1"/>
  <c r="I750" i="1"/>
  <c r="D750" i="1"/>
  <c r="N749" i="1"/>
  <c r="I749" i="1"/>
  <c r="D749" i="1"/>
  <c r="N748" i="1"/>
  <c r="I748" i="1"/>
  <c r="D748" i="1"/>
  <c r="N747" i="1"/>
  <c r="I747" i="1"/>
  <c r="D747" i="1"/>
  <c r="N746" i="1"/>
  <c r="I746" i="1"/>
  <c r="D746" i="1"/>
  <c r="N745" i="1"/>
  <c r="I745" i="1"/>
  <c r="D745" i="1"/>
  <c r="N744" i="1"/>
  <c r="I744" i="1"/>
  <c r="D744" i="1"/>
  <c r="N743" i="1"/>
  <c r="I743" i="1"/>
  <c r="D743" i="1"/>
  <c r="R742" i="1"/>
  <c r="Q742" i="1"/>
  <c r="P742" i="1"/>
  <c r="O742" i="1"/>
  <c r="M742" i="1"/>
  <c r="L742" i="1"/>
  <c r="K742" i="1"/>
  <c r="J742" i="1"/>
  <c r="H742" i="1"/>
  <c r="G742" i="1"/>
  <c r="F742" i="1"/>
  <c r="E742" i="1"/>
  <c r="N741" i="1"/>
  <c r="I741" i="1"/>
  <c r="D741" i="1"/>
  <c r="N740" i="1"/>
  <c r="I740" i="1"/>
  <c r="D740" i="1"/>
  <c r="N739" i="1"/>
  <c r="I739" i="1"/>
  <c r="D739" i="1"/>
  <c r="N738" i="1"/>
  <c r="I738" i="1"/>
  <c r="D738" i="1"/>
  <c r="N737" i="1"/>
  <c r="I737" i="1"/>
  <c r="D737" i="1"/>
  <c r="N736" i="1"/>
  <c r="I736" i="1"/>
  <c r="D736" i="1"/>
  <c r="N735" i="1"/>
  <c r="I735" i="1"/>
  <c r="D735" i="1"/>
  <c r="N734" i="1"/>
  <c r="I734" i="1"/>
  <c r="D734" i="1"/>
  <c r="N733" i="1"/>
  <c r="I733" i="1"/>
  <c r="D733" i="1"/>
  <c r="N732" i="1"/>
  <c r="I732" i="1"/>
  <c r="D732" i="1"/>
  <c r="N731" i="1"/>
  <c r="I731" i="1"/>
  <c r="D731" i="1"/>
  <c r="N730" i="1"/>
  <c r="I730" i="1"/>
  <c r="D730" i="1"/>
  <c r="N729" i="1"/>
  <c r="I729" i="1"/>
  <c r="D729" i="1"/>
  <c r="N728" i="1"/>
  <c r="I728" i="1"/>
  <c r="D728" i="1"/>
  <c r="N727" i="1"/>
  <c r="I727" i="1"/>
  <c r="D727" i="1"/>
  <c r="N726" i="1"/>
  <c r="I726" i="1"/>
  <c r="D726" i="1"/>
  <c r="N725" i="1"/>
  <c r="I725" i="1"/>
  <c r="D725" i="1"/>
  <c r="N724" i="1"/>
  <c r="I724" i="1"/>
  <c r="D724" i="1"/>
  <c r="N723" i="1"/>
  <c r="I723" i="1"/>
  <c r="D723" i="1"/>
  <c r="N722" i="1"/>
  <c r="I722" i="1"/>
  <c r="D722" i="1"/>
  <c r="N721" i="1"/>
  <c r="I721" i="1"/>
  <c r="D721" i="1"/>
  <c r="R720" i="1"/>
  <c r="Q720" i="1"/>
  <c r="P720" i="1"/>
  <c r="O720" i="1"/>
  <c r="M720" i="1"/>
  <c r="L720" i="1"/>
  <c r="K720" i="1"/>
  <c r="J720" i="1"/>
  <c r="H720" i="1"/>
  <c r="G720" i="1"/>
  <c r="F720" i="1"/>
  <c r="E720" i="1"/>
  <c r="N719" i="1"/>
  <c r="I719" i="1"/>
  <c r="D719" i="1"/>
  <c r="N718" i="1"/>
  <c r="I718" i="1"/>
  <c r="D718" i="1"/>
  <c r="N717" i="1"/>
  <c r="I717" i="1"/>
  <c r="D717" i="1"/>
  <c r="N716" i="1"/>
  <c r="I716" i="1"/>
  <c r="D716" i="1"/>
  <c r="N715" i="1"/>
  <c r="I715" i="1"/>
  <c r="D715" i="1"/>
  <c r="N714" i="1"/>
  <c r="I714" i="1"/>
  <c r="D714" i="1"/>
  <c r="R713" i="1"/>
  <c r="Q713" i="1"/>
  <c r="P713" i="1"/>
  <c r="O713" i="1"/>
  <c r="M713" i="1"/>
  <c r="L713" i="1"/>
  <c r="K713" i="1"/>
  <c r="J713" i="1"/>
  <c r="H713" i="1"/>
  <c r="G713" i="1"/>
  <c r="F713" i="1"/>
  <c r="E713" i="1"/>
  <c r="N712" i="1"/>
  <c r="I712" i="1"/>
  <c r="D712" i="1"/>
  <c r="N711" i="1"/>
  <c r="I711" i="1"/>
  <c r="D711" i="1"/>
  <c r="N710" i="1"/>
  <c r="I710" i="1"/>
  <c r="D710" i="1"/>
  <c r="N709" i="1"/>
  <c r="I709" i="1"/>
  <c r="D709" i="1"/>
  <c r="N708" i="1"/>
  <c r="I708" i="1"/>
  <c r="D708" i="1"/>
  <c r="N707" i="1"/>
  <c r="I707" i="1"/>
  <c r="D707" i="1"/>
  <c r="N706" i="1"/>
  <c r="I706" i="1"/>
  <c r="D706" i="1"/>
  <c r="N705" i="1"/>
  <c r="I705" i="1"/>
  <c r="D705" i="1"/>
  <c r="N704" i="1"/>
  <c r="I704" i="1"/>
  <c r="D704" i="1"/>
  <c r="N703" i="1"/>
  <c r="I703" i="1"/>
  <c r="D703" i="1"/>
  <c r="N702" i="1"/>
  <c r="I702" i="1"/>
  <c r="D702" i="1"/>
  <c r="N701" i="1"/>
  <c r="I701" i="1"/>
  <c r="D701" i="1"/>
  <c r="N700" i="1"/>
  <c r="I700" i="1"/>
  <c r="D700" i="1"/>
  <c r="N699" i="1"/>
  <c r="I699" i="1"/>
  <c r="D699" i="1"/>
  <c r="N698" i="1"/>
  <c r="I698" i="1"/>
  <c r="D698" i="1"/>
  <c r="N697" i="1"/>
  <c r="I697" i="1"/>
  <c r="D697" i="1"/>
  <c r="N696" i="1"/>
  <c r="I696" i="1"/>
  <c r="D696" i="1"/>
  <c r="R695" i="1"/>
  <c r="Q695" i="1"/>
  <c r="P695" i="1"/>
  <c r="O695" i="1"/>
  <c r="M695" i="1"/>
  <c r="L695" i="1"/>
  <c r="K695" i="1"/>
  <c r="J695" i="1"/>
  <c r="H695" i="1"/>
  <c r="G695" i="1"/>
  <c r="F695" i="1"/>
  <c r="E695" i="1"/>
  <c r="N694" i="1"/>
  <c r="I694" i="1"/>
  <c r="D694" i="1"/>
  <c r="N693" i="1"/>
  <c r="I693" i="1"/>
  <c r="D693" i="1"/>
  <c r="N692" i="1"/>
  <c r="I692" i="1"/>
  <c r="D692" i="1"/>
  <c r="N691" i="1"/>
  <c r="I691" i="1"/>
  <c r="D691" i="1"/>
  <c r="N690" i="1"/>
  <c r="I690" i="1"/>
  <c r="D690" i="1"/>
  <c r="N689" i="1"/>
  <c r="I689" i="1"/>
  <c r="D689" i="1"/>
  <c r="N688" i="1"/>
  <c r="I688" i="1"/>
  <c r="D688" i="1"/>
  <c r="R687" i="1"/>
  <c r="Q687" i="1"/>
  <c r="P687" i="1"/>
  <c r="O687" i="1"/>
  <c r="M687" i="1"/>
  <c r="L687" i="1"/>
  <c r="K687" i="1"/>
  <c r="J687" i="1"/>
  <c r="H687" i="1"/>
  <c r="G687" i="1"/>
  <c r="F687" i="1"/>
  <c r="E687" i="1"/>
  <c r="N686" i="1"/>
  <c r="I686" i="1"/>
  <c r="D686" i="1"/>
  <c r="N685" i="1"/>
  <c r="I685" i="1"/>
  <c r="D685" i="1"/>
  <c r="N684" i="1"/>
  <c r="I684" i="1"/>
  <c r="D684" i="1"/>
  <c r="N683" i="1"/>
  <c r="I683" i="1"/>
  <c r="D683" i="1"/>
  <c r="N682" i="1"/>
  <c r="I682" i="1"/>
  <c r="D682" i="1"/>
  <c r="N681" i="1"/>
  <c r="I681" i="1"/>
  <c r="D681" i="1"/>
  <c r="N680" i="1"/>
  <c r="I680" i="1"/>
  <c r="D680" i="1"/>
  <c r="R679" i="1"/>
  <c r="Q679" i="1"/>
  <c r="P679" i="1"/>
  <c r="O679" i="1"/>
  <c r="M679" i="1"/>
  <c r="L679" i="1"/>
  <c r="J679" i="1"/>
  <c r="H679" i="1"/>
  <c r="G679" i="1"/>
  <c r="F679" i="1"/>
  <c r="E679" i="1"/>
  <c r="N678" i="1"/>
  <c r="I678" i="1"/>
  <c r="D678" i="1"/>
  <c r="N677" i="1"/>
  <c r="I677" i="1"/>
  <c r="D677" i="1"/>
  <c r="N676" i="1"/>
  <c r="I676" i="1"/>
  <c r="D676" i="1"/>
  <c r="N675" i="1"/>
  <c r="I675" i="1"/>
  <c r="D675" i="1"/>
  <c r="N674" i="1"/>
  <c r="I674" i="1"/>
  <c r="D674" i="1"/>
  <c r="N673" i="1"/>
  <c r="I673" i="1"/>
  <c r="D673" i="1"/>
  <c r="N672" i="1"/>
  <c r="I672" i="1"/>
  <c r="D672" i="1"/>
  <c r="N671" i="1"/>
  <c r="I671" i="1"/>
  <c r="D671" i="1"/>
  <c r="N670" i="1"/>
  <c r="I670" i="1"/>
  <c r="D670" i="1"/>
  <c r="N669" i="1"/>
  <c r="I669" i="1"/>
  <c r="D669" i="1"/>
  <c r="R668" i="1"/>
  <c r="Q668" i="1"/>
  <c r="P668" i="1"/>
  <c r="O668" i="1"/>
  <c r="M668" i="1"/>
  <c r="L668" i="1"/>
  <c r="J668" i="1"/>
  <c r="H668" i="1"/>
  <c r="G668" i="1"/>
  <c r="F668" i="1"/>
  <c r="E668" i="1"/>
  <c r="N667" i="1"/>
  <c r="I667" i="1"/>
  <c r="D667" i="1"/>
  <c r="R666" i="1"/>
  <c r="Q666" i="1"/>
  <c r="P666" i="1"/>
  <c r="O666" i="1"/>
  <c r="M666" i="1"/>
  <c r="L666" i="1"/>
  <c r="K666" i="1"/>
  <c r="J666" i="1"/>
  <c r="H666" i="1"/>
  <c r="G666" i="1"/>
  <c r="F666" i="1"/>
  <c r="E666" i="1"/>
  <c r="N663" i="1"/>
  <c r="I663" i="1"/>
  <c r="D663" i="1"/>
  <c r="N662" i="1"/>
  <c r="I662" i="1"/>
  <c r="D662" i="1"/>
  <c r="N661" i="1"/>
  <c r="I661" i="1"/>
  <c r="D661" i="1"/>
  <c r="N660" i="1"/>
  <c r="I660" i="1"/>
  <c r="D660" i="1"/>
  <c r="R659" i="1"/>
  <c r="Q659" i="1"/>
  <c r="P659" i="1"/>
  <c r="O659" i="1"/>
  <c r="M659" i="1"/>
  <c r="L659" i="1"/>
  <c r="K659" i="1"/>
  <c r="J659" i="1"/>
  <c r="H659" i="1"/>
  <c r="H657" i="1" s="1"/>
  <c r="G659" i="1"/>
  <c r="G657" i="1" s="1"/>
  <c r="F659" i="1"/>
  <c r="F657" i="1" s="1"/>
  <c r="E659" i="1"/>
  <c r="E657" i="1" s="1"/>
  <c r="R657" i="1"/>
  <c r="N656" i="1"/>
  <c r="I656" i="1"/>
  <c r="D656" i="1"/>
  <c r="N655" i="1"/>
  <c r="I655" i="1"/>
  <c r="D655" i="1"/>
  <c r="N654" i="1"/>
  <c r="I654" i="1"/>
  <c r="D654" i="1"/>
  <c r="N653" i="1"/>
  <c r="I653" i="1"/>
  <c r="D653" i="1"/>
  <c r="N652" i="1"/>
  <c r="I652" i="1"/>
  <c r="D652" i="1"/>
  <c r="R651" i="1"/>
  <c r="Q651" i="1"/>
  <c r="P651" i="1"/>
  <c r="O651" i="1"/>
  <c r="M651" i="1"/>
  <c r="L651" i="1"/>
  <c r="K651" i="1"/>
  <c r="J651" i="1"/>
  <c r="H651" i="1"/>
  <c r="H649" i="1" s="1"/>
  <c r="G651" i="1"/>
  <c r="G649" i="1" s="1"/>
  <c r="F651" i="1"/>
  <c r="F649" i="1" s="1"/>
  <c r="E651" i="1"/>
  <c r="E649" i="1" s="1"/>
  <c r="M649" i="1"/>
  <c r="N648" i="1"/>
  <c r="I648" i="1"/>
  <c r="D648" i="1"/>
  <c r="R647" i="1"/>
  <c r="Q647" i="1"/>
  <c r="P647" i="1"/>
  <c r="O647" i="1"/>
  <c r="M647" i="1"/>
  <c r="L647" i="1"/>
  <c r="K647" i="1"/>
  <c r="J647" i="1"/>
  <c r="H647" i="1"/>
  <c r="H645" i="1" s="1"/>
  <c r="G647" i="1"/>
  <c r="G645" i="1" s="1"/>
  <c r="F647" i="1"/>
  <c r="F645" i="1" s="1"/>
  <c r="E647" i="1"/>
  <c r="N644" i="1"/>
  <c r="I644" i="1"/>
  <c r="D644" i="1"/>
  <c r="R643" i="1"/>
  <c r="Q643" i="1"/>
  <c r="P643" i="1"/>
  <c r="O643" i="1"/>
  <c r="M643" i="1"/>
  <c r="L643" i="1"/>
  <c r="K643" i="1"/>
  <c r="J643" i="1"/>
  <c r="H643" i="1"/>
  <c r="G643" i="1"/>
  <c r="F643" i="1"/>
  <c r="E643" i="1"/>
  <c r="N642" i="1"/>
  <c r="I642" i="1"/>
  <c r="D642" i="1"/>
  <c r="N641" i="1"/>
  <c r="I641" i="1"/>
  <c r="D641" i="1"/>
  <c r="N640" i="1"/>
  <c r="I640" i="1"/>
  <c r="D640" i="1"/>
  <c r="N639" i="1"/>
  <c r="I639" i="1"/>
  <c r="D639" i="1"/>
  <c r="R638" i="1"/>
  <c r="Q638" i="1"/>
  <c r="P638" i="1"/>
  <c r="O638" i="1"/>
  <c r="M638" i="1"/>
  <c r="L638" i="1"/>
  <c r="K638" i="1"/>
  <c r="J638" i="1"/>
  <c r="H638" i="1"/>
  <c r="H636" i="1" s="1"/>
  <c r="G638" i="1"/>
  <c r="G636" i="1" s="1"/>
  <c r="F638" i="1"/>
  <c r="F636" i="1" s="1"/>
  <c r="E638" i="1"/>
  <c r="N635" i="1"/>
  <c r="I635" i="1"/>
  <c r="D635" i="1"/>
  <c r="R634" i="1"/>
  <c r="Q634" i="1"/>
  <c r="P634" i="1"/>
  <c r="O634" i="1"/>
  <c r="M634" i="1"/>
  <c r="L634" i="1"/>
  <c r="K634" i="1"/>
  <c r="J634" i="1"/>
  <c r="H634" i="1"/>
  <c r="G634" i="1"/>
  <c r="F634" i="1"/>
  <c r="E634" i="1"/>
  <c r="N633" i="1"/>
  <c r="I633" i="1"/>
  <c r="D633" i="1"/>
  <c r="R632" i="1"/>
  <c r="Q632" i="1"/>
  <c r="P632" i="1"/>
  <c r="O632" i="1"/>
  <c r="M632" i="1"/>
  <c r="L632" i="1"/>
  <c r="K632" i="1"/>
  <c r="J632" i="1"/>
  <c r="H632" i="1"/>
  <c r="G632" i="1"/>
  <c r="F632" i="1"/>
  <c r="E632" i="1"/>
  <c r="N629" i="1"/>
  <c r="I629" i="1"/>
  <c r="D629" i="1"/>
  <c r="R628" i="1"/>
  <c r="Q628" i="1"/>
  <c r="P628" i="1"/>
  <c r="O628" i="1"/>
  <c r="M628" i="1"/>
  <c r="L628" i="1"/>
  <c r="K628" i="1"/>
  <c r="J628" i="1"/>
  <c r="H628" i="1"/>
  <c r="G628" i="1"/>
  <c r="F628" i="1"/>
  <c r="E628" i="1"/>
  <c r="N627" i="1"/>
  <c r="I627" i="1"/>
  <c r="D627" i="1"/>
  <c r="N626" i="1"/>
  <c r="I626" i="1"/>
  <c r="D626" i="1"/>
  <c r="N625" i="1"/>
  <c r="I625" i="1"/>
  <c r="D625" i="1"/>
  <c r="N624" i="1"/>
  <c r="I624" i="1"/>
  <c r="D624" i="1"/>
  <c r="N623" i="1"/>
  <c r="I623" i="1"/>
  <c r="D623" i="1"/>
  <c r="R622" i="1"/>
  <c r="Q622" i="1"/>
  <c r="P622" i="1"/>
  <c r="O622" i="1"/>
  <c r="M622" i="1"/>
  <c r="L622" i="1"/>
  <c r="K622" i="1"/>
  <c r="J622" i="1"/>
  <c r="H622" i="1"/>
  <c r="G622" i="1"/>
  <c r="F622" i="1"/>
  <c r="E622" i="1"/>
  <c r="N621" i="1"/>
  <c r="I621" i="1"/>
  <c r="D621" i="1"/>
  <c r="N620" i="1"/>
  <c r="I620" i="1"/>
  <c r="D620" i="1"/>
  <c r="R619" i="1"/>
  <c r="Q619" i="1"/>
  <c r="P619" i="1"/>
  <c r="O619" i="1"/>
  <c r="M619" i="1"/>
  <c r="L619" i="1"/>
  <c r="K619" i="1"/>
  <c r="J619" i="1"/>
  <c r="H619" i="1"/>
  <c r="G619" i="1"/>
  <c r="F619" i="1"/>
  <c r="E619" i="1"/>
  <c r="N618" i="1"/>
  <c r="I618" i="1"/>
  <c r="D618" i="1"/>
  <c r="N617" i="1"/>
  <c r="I617" i="1"/>
  <c r="D617" i="1"/>
  <c r="R616" i="1"/>
  <c r="Q616" i="1"/>
  <c r="P616" i="1"/>
  <c r="O616" i="1"/>
  <c r="M616" i="1"/>
  <c r="L616" i="1"/>
  <c r="K616" i="1"/>
  <c r="J616" i="1"/>
  <c r="H616" i="1"/>
  <c r="G616" i="1"/>
  <c r="F616" i="1"/>
  <c r="E616" i="1"/>
  <c r="N615" i="1"/>
  <c r="I615" i="1"/>
  <c r="D615" i="1"/>
  <c r="R614" i="1"/>
  <c r="Q614" i="1"/>
  <c r="P614" i="1"/>
  <c r="O614" i="1"/>
  <c r="M614" i="1"/>
  <c r="L614" i="1"/>
  <c r="K614" i="1"/>
  <c r="J614" i="1"/>
  <c r="H614" i="1"/>
  <c r="G614" i="1"/>
  <c r="F614" i="1"/>
  <c r="E614" i="1"/>
  <c r="N613" i="1"/>
  <c r="I613" i="1"/>
  <c r="D613" i="1"/>
  <c r="R612" i="1"/>
  <c r="Q612" i="1"/>
  <c r="P612" i="1"/>
  <c r="O612" i="1"/>
  <c r="M612" i="1"/>
  <c r="L612" i="1"/>
  <c r="K612" i="1"/>
  <c r="J612" i="1"/>
  <c r="H612" i="1"/>
  <c r="G612" i="1"/>
  <c r="F612" i="1"/>
  <c r="E612" i="1"/>
  <c r="N611" i="1"/>
  <c r="I611" i="1"/>
  <c r="D611" i="1"/>
  <c r="N610" i="1"/>
  <c r="I610" i="1"/>
  <c r="D610" i="1"/>
  <c r="N609" i="1"/>
  <c r="I609" i="1"/>
  <c r="D609" i="1"/>
  <c r="N608" i="1"/>
  <c r="I608" i="1"/>
  <c r="D608" i="1"/>
  <c r="N607" i="1"/>
  <c r="I607" i="1"/>
  <c r="D607" i="1"/>
  <c r="N606" i="1"/>
  <c r="I606" i="1"/>
  <c r="D606" i="1"/>
  <c r="N605" i="1"/>
  <c r="I605" i="1"/>
  <c r="D605" i="1"/>
  <c r="N604" i="1"/>
  <c r="I604" i="1"/>
  <c r="D604" i="1"/>
  <c r="N603" i="1"/>
  <c r="I603" i="1"/>
  <c r="D603" i="1"/>
  <c r="N602" i="1"/>
  <c r="I602" i="1"/>
  <c r="D602" i="1"/>
  <c r="N601" i="1"/>
  <c r="I601" i="1"/>
  <c r="D601" i="1"/>
  <c r="N600" i="1"/>
  <c r="I600" i="1"/>
  <c r="D600" i="1"/>
  <c r="N599" i="1"/>
  <c r="I599" i="1"/>
  <c r="D599" i="1"/>
  <c r="N598" i="1"/>
  <c r="I598" i="1"/>
  <c r="D598" i="1"/>
  <c r="N597" i="1"/>
  <c r="I597" i="1"/>
  <c r="D597" i="1"/>
  <c r="N596" i="1"/>
  <c r="I596" i="1"/>
  <c r="D596" i="1"/>
  <c r="N595" i="1"/>
  <c r="I595" i="1"/>
  <c r="D595" i="1"/>
  <c r="N594" i="1"/>
  <c r="I594" i="1"/>
  <c r="D594" i="1"/>
  <c r="N593" i="1"/>
  <c r="I593" i="1"/>
  <c r="D593" i="1"/>
  <c r="N592" i="1"/>
  <c r="I592" i="1"/>
  <c r="D592" i="1"/>
  <c r="R591" i="1"/>
  <c r="Q591" i="1"/>
  <c r="P591" i="1"/>
  <c r="O591" i="1"/>
  <c r="M591" i="1"/>
  <c r="L591" i="1"/>
  <c r="K591" i="1"/>
  <c r="J591" i="1"/>
  <c r="H591" i="1"/>
  <c r="G591" i="1"/>
  <c r="F591" i="1"/>
  <c r="E591" i="1"/>
  <c r="N588" i="1"/>
  <c r="I588" i="1"/>
  <c r="D588" i="1"/>
  <c r="N587" i="1"/>
  <c r="I587" i="1"/>
  <c r="D587" i="1"/>
  <c r="R586" i="1"/>
  <c r="Q586" i="1"/>
  <c r="P586" i="1"/>
  <c r="O586" i="1"/>
  <c r="M586" i="1"/>
  <c r="L586" i="1"/>
  <c r="K586" i="1"/>
  <c r="J586" i="1"/>
  <c r="H586" i="1"/>
  <c r="G586" i="1"/>
  <c r="F586" i="1"/>
  <c r="E586" i="1"/>
  <c r="N585" i="1"/>
  <c r="I585" i="1"/>
  <c r="D585" i="1"/>
  <c r="R584" i="1"/>
  <c r="Q584" i="1"/>
  <c r="P584" i="1"/>
  <c r="O584" i="1"/>
  <c r="M584" i="1"/>
  <c r="L584" i="1"/>
  <c r="K584" i="1"/>
  <c r="J584" i="1"/>
  <c r="H584" i="1"/>
  <c r="G584" i="1"/>
  <c r="F584" i="1"/>
  <c r="E584" i="1"/>
  <c r="N583" i="1"/>
  <c r="I583" i="1"/>
  <c r="D583" i="1"/>
  <c r="N582" i="1"/>
  <c r="I582" i="1"/>
  <c r="D582" i="1"/>
  <c r="R581" i="1"/>
  <c r="Q581" i="1"/>
  <c r="P581" i="1"/>
  <c r="O581" i="1"/>
  <c r="M581" i="1"/>
  <c r="L581" i="1"/>
  <c r="K581" i="1"/>
  <c r="J581" i="1"/>
  <c r="H581" i="1"/>
  <c r="G581" i="1"/>
  <c r="F581" i="1"/>
  <c r="E581" i="1"/>
  <c r="N580" i="1"/>
  <c r="I580" i="1"/>
  <c r="D580" i="1"/>
  <c r="N579" i="1"/>
  <c r="I579" i="1"/>
  <c r="D579" i="1"/>
  <c r="N578" i="1"/>
  <c r="I578" i="1"/>
  <c r="D578" i="1"/>
  <c r="R577" i="1"/>
  <c r="Q577" i="1"/>
  <c r="P577" i="1"/>
  <c r="O577" i="1"/>
  <c r="M577" i="1"/>
  <c r="L577" i="1"/>
  <c r="K577" i="1"/>
  <c r="J577" i="1"/>
  <c r="H577" i="1"/>
  <c r="G577" i="1"/>
  <c r="F577" i="1"/>
  <c r="E577" i="1"/>
  <c r="N576" i="1"/>
  <c r="I576" i="1"/>
  <c r="D576" i="1"/>
  <c r="R575" i="1"/>
  <c r="Q575" i="1"/>
  <c r="P575" i="1"/>
  <c r="O575" i="1"/>
  <c r="M575" i="1"/>
  <c r="L575" i="1"/>
  <c r="K575" i="1"/>
  <c r="J575" i="1"/>
  <c r="H575" i="1"/>
  <c r="G575" i="1"/>
  <c r="F575" i="1"/>
  <c r="E575" i="1"/>
  <c r="N574" i="1"/>
  <c r="I574" i="1"/>
  <c r="D574" i="1"/>
  <c r="N573" i="1"/>
  <c r="I573" i="1"/>
  <c r="D573" i="1"/>
  <c r="N572" i="1"/>
  <c r="I572" i="1"/>
  <c r="D572" i="1"/>
  <c r="N571" i="1"/>
  <c r="I571" i="1"/>
  <c r="D571" i="1"/>
  <c r="N570" i="1"/>
  <c r="I570" i="1"/>
  <c r="D570" i="1"/>
  <c r="N569" i="1"/>
  <c r="I569" i="1"/>
  <c r="D569" i="1"/>
  <c r="R568" i="1"/>
  <c r="Q568" i="1"/>
  <c r="P568" i="1"/>
  <c r="O568" i="1"/>
  <c r="M568" i="1"/>
  <c r="L568" i="1"/>
  <c r="K568" i="1"/>
  <c r="J568" i="1"/>
  <c r="H568" i="1"/>
  <c r="G568" i="1"/>
  <c r="F568" i="1"/>
  <c r="E568" i="1"/>
  <c r="N567" i="1"/>
  <c r="I567" i="1"/>
  <c r="D567" i="1"/>
  <c r="R566" i="1"/>
  <c r="Q566" i="1"/>
  <c r="P566" i="1"/>
  <c r="O566" i="1"/>
  <c r="M566" i="1"/>
  <c r="L566" i="1"/>
  <c r="K566" i="1"/>
  <c r="J566" i="1"/>
  <c r="H566" i="1"/>
  <c r="G566" i="1"/>
  <c r="F566" i="1"/>
  <c r="E566" i="1"/>
  <c r="N563" i="1"/>
  <c r="I563" i="1"/>
  <c r="D563" i="1"/>
  <c r="N562" i="1"/>
  <c r="I562" i="1"/>
  <c r="D562" i="1"/>
  <c r="N561" i="1"/>
  <c r="I561" i="1"/>
  <c r="D561" i="1"/>
  <c r="R560" i="1"/>
  <c r="Q560" i="1"/>
  <c r="P560" i="1"/>
  <c r="O560" i="1"/>
  <c r="M560" i="1"/>
  <c r="L560" i="1"/>
  <c r="K560" i="1"/>
  <c r="J560" i="1"/>
  <c r="H560" i="1"/>
  <c r="H558" i="1" s="1"/>
  <c r="G560" i="1"/>
  <c r="G558" i="1" s="1"/>
  <c r="F560" i="1"/>
  <c r="F558" i="1" s="1"/>
  <c r="E560" i="1"/>
  <c r="E558" i="1" s="1"/>
  <c r="N557" i="1"/>
  <c r="I557" i="1"/>
  <c r="D557" i="1"/>
  <c r="R556" i="1"/>
  <c r="Q556" i="1"/>
  <c r="P556" i="1"/>
  <c r="O556" i="1"/>
  <c r="M556" i="1"/>
  <c r="L556" i="1"/>
  <c r="K556" i="1"/>
  <c r="J556" i="1"/>
  <c r="H556" i="1"/>
  <c r="G556" i="1"/>
  <c r="F556" i="1"/>
  <c r="E556" i="1"/>
  <c r="N555" i="1"/>
  <c r="I555" i="1"/>
  <c r="D555" i="1"/>
  <c r="R554" i="1"/>
  <c r="Q554" i="1"/>
  <c r="P554" i="1"/>
  <c r="O554" i="1"/>
  <c r="M554" i="1"/>
  <c r="L554" i="1"/>
  <c r="K554" i="1"/>
  <c r="J554" i="1"/>
  <c r="H554" i="1"/>
  <c r="G554" i="1"/>
  <c r="F554" i="1"/>
  <c r="E554" i="1"/>
  <c r="N553" i="1"/>
  <c r="I553" i="1"/>
  <c r="D553" i="1"/>
  <c r="R552" i="1"/>
  <c r="Q552" i="1"/>
  <c r="P552" i="1"/>
  <c r="O552" i="1"/>
  <c r="M552" i="1"/>
  <c r="L552" i="1"/>
  <c r="K552" i="1"/>
  <c r="J552" i="1"/>
  <c r="H552" i="1"/>
  <c r="G552" i="1"/>
  <c r="F552" i="1"/>
  <c r="E552" i="1"/>
  <c r="N551" i="1"/>
  <c r="I551" i="1"/>
  <c r="D551" i="1"/>
  <c r="R550" i="1"/>
  <c r="Q550" i="1"/>
  <c r="P550" i="1"/>
  <c r="O550" i="1"/>
  <c r="M550" i="1"/>
  <c r="L550" i="1"/>
  <c r="K550" i="1"/>
  <c r="J550" i="1"/>
  <c r="H550" i="1"/>
  <c r="G550" i="1"/>
  <c r="F550" i="1"/>
  <c r="E550" i="1"/>
  <c r="N549" i="1"/>
  <c r="I549" i="1"/>
  <c r="D549" i="1"/>
  <c r="R548" i="1"/>
  <c r="Q548" i="1"/>
  <c r="P548" i="1"/>
  <c r="O548" i="1"/>
  <c r="M548" i="1"/>
  <c r="L548" i="1"/>
  <c r="K548" i="1"/>
  <c r="J548" i="1"/>
  <c r="H548" i="1"/>
  <c r="G548" i="1"/>
  <c r="F548" i="1"/>
  <c r="E548" i="1"/>
  <c r="N547" i="1"/>
  <c r="I547" i="1"/>
  <c r="D547" i="1"/>
  <c r="R546" i="1"/>
  <c r="Q546" i="1"/>
  <c r="P546" i="1"/>
  <c r="O546" i="1"/>
  <c r="M546" i="1"/>
  <c r="L546" i="1"/>
  <c r="K546" i="1"/>
  <c r="J546" i="1"/>
  <c r="H546" i="1"/>
  <c r="G546" i="1"/>
  <c r="F546" i="1"/>
  <c r="E546" i="1"/>
  <c r="N545" i="1"/>
  <c r="I545" i="1"/>
  <c r="D545" i="1"/>
  <c r="R544" i="1"/>
  <c r="Q544" i="1"/>
  <c r="P544" i="1"/>
  <c r="O544" i="1"/>
  <c r="M544" i="1"/>
  <c r="L544" i="1"/>
  <c r="K544" i="1"/>
  <c r="J544" i="1"/>
  <c r="H544" i="1"/>
  <c r="G544" i="1"/>
  <c r="F544" i="1"/>
  <c r="E544" i="1"/>
  <c r="N543" i="1"/>
  <c r="I543" i="1"/>
  <c r="D543" i="1"/>
  <c r="R542" i="1"/>
  <c r="Q542" i="1"/>
  <c r="P542" i="1"/>
  <c r="O542" i="1"/>
  <c r="M542" i="1"/>
  <c r="L542" i="1"/>
  <c r="K542" i="1"/>
  <c r="J542" i="1"/>
  <c r="H542" i="1"/>
  <c r="G542" i="1"/>
  <c r="F542" i="1"/>
  <c r="E542" i="1"/>
  <c r="N541" i="1"/>
  <c r="I541" i="1"/>
  <c r="D541" i="1"/>
  <c r="R540" i="1"/>
  <c r="Q540" i="1"/>
  <c r="P540" i="1"/>
  <c r="O540" i="1"/>
  <c r="M540" i="1"/>
  <c r="L540" i="1"/>
  <c r="K540" i="1"/>
  <c r="J540" i="1"/>
  <c r="H540" i="1"/>
  <c r="G540" i="1"/>
  <c r="F540" i="1"/>
  <c r="E540" i="1"/>
  <c r="N539" i="1"/>
  <c r="I539" i="1"/>
  <c r="D539" i="1"/>
  <c r="R538" i="1"/>
  <c r="Q538" i="1"/>
  <c r="P538" i="1"/>
  <c r="O538" i="1"/>
  <c r="M538" i="1"/>
  <c r="L538" i="1"/>
  <c r="K538" i="1"/>
  <c r="J538" i="1"/>
  <c r="H538" i="1"/>
  <c r="G538" i="1"/>
  <c r="F538" i="1"/>
  <c r="E538" i="1"/>
  <c r="N537" i="1"/>
  <c r="I537" i="1"/>
  <c r="D537" i="1"/>
  <c r="N536" i="1"/>
  <c r="I536" i="1"/>
  <c r="D536" i="1"/>
  <c r="R535" i="1"/>
  <c r="Q535" i="1"/>
  <c r="P535" i="1"/>
  <c r="O535" i="1"/>
  <c r="M535" i="1"/>
  <c r="L535" i="1"/>
  <c r="K535" i="1"/>
  <c r="J535" i="1"/>
  <c r="H535" i="1"/>
  <c r="G535" i="1"/>
  <c r="F535" i="1"/>
  <c r="E535" i="1"/>
  <c r="N532" i="1"/>
  <c r="I532" i="1"/>
  <c r="D532" i="1"/>
  <c r="R531" i="1"/>
  <c r="Q531" i="1"/>
  <c r="P531" i="1"/>
  <c r="O531" i="1"/>
  <c r="M531" i="1"/>
  <c r="L531" i="1"/>
  <c r="K531" i="1"/>
  <c r="J531" i="1"/>
  <c r="H531" i="1"/>
  <c r="H529" i="1" s="1"/>
  <c r="G531" i="1"/>
  <c r="G529" i="1" s="1"/>
  <c r="F531" i="1"/>
  <c r="F529" i="1" s="1"/>
  <c r="E531" i="1"/>
  <c r="R529" i="1"/>
  <c r="Q529" i="1"/>
  <c r="E529" i="1"/>
  <c r="N528" i="1"/>
  <c r="I528" i="1"/>
  <c r="D528" i="1"/>
  <c r="R527" i="1"/>
  <c r="Q527" i="1"/>
  <c r="P527" i="1"/>
  <c r="O527" i="1"/>
  <c r="M527" i="1"/>
  <c r="L527" i="1"/>
  <c r="K527" i="1"/>
  <c r="J527" i="1"/>
  <c r="H527" i="1"/>
  <c r="H525" i="1" s="1"/>
  <c r="G527" i="1"/>
  <c r="G525" i="1" s="1"/>
  <c r="F527" i="1"/>
  <c r="F525" i="1" s="1"/>
  <c r="E527" i="1"/>
  <c r="E525" i="1" s="1"/>
  <c r="N524" i="1"/>
  <c r="I524" i="1"/>
  <c r="D524" i="1"/>
  <c r="N523" i="1"/>
  <c r="I523" i="1"/>
  <c r="D523" i="1"/>
  <c r="R522" i="1"/>
  <c r="Q522" i="1"/>
  <c r="P522" i="1"/>
  <c r="O522" i="1"/>
  <c r="M522" i="1"/>
  <c r="L522" i="1"/>
  <c r="K522" i="1"/>
  <c r="J522" i="1"/>
  <c r="H522" i="1"/>
  <c r="G522" i="1"/>
  <c r="F522" i="1"/>
  <c r="E522" i="1"/>
  <c r="N521" i="1"/>
  <c r="I521" i="1"/>
  <c r="D521" i="1"/>
  <c r="R520" i="1"/>
  <c r="Q520" i="1"/>
  <c r="P520" i="1"/>
  <c r="O520" i="1"/>
  <c r="M520" i="1"/>
  <c r="L520" i="1"/>
  <c r="K520" i="1"/>
  <c r="J520" i="1"/>
  <c r="H520" i="1"/>
  <c r="G520" i="1"/>
  <c r="F520" i="1"/>
  <c r="E520" i="1"/>
  <c r="N519" i="1"/>
  <c r="I519" i="1"/>
  <c r="D519" i="1"/>
  <c r="N518" i="1"/>
  <c r="I518" i="1"/>
  <c r="D518" i="1"/>
  <c r="N517" i="1"/>
  <c r="I517" i="1"/>
  <c r="D517" i="1"/>
  <c r="N516" i="1"/>
  <c r="I516" i="1"/>
  <c r="D516" i="1"/>
  <c r="N515" i="1"/>
  <c r="I515" i="1"/>
  <c r="D515" i="1"/>
  <c r="N514" i="1"/>
  <c r="I514" i="1"/>
  <c r="D514" i="1"/>
  <c r="N513" i="1"/>
  <c r="I513" i="1"/>
  <c r="D513" i="1"/>
  <c r="N512" i="1"/>
  <c r="I512" i="1"/>
  <c r="D512" i="1"/>
  <c r="N511" i="1"/>
  <c r="I511" i="1"/>
  <c r="D511" i="1"/>
  <c r="N510" i="1"/>
  <c r="I510" i="1"/>
  <c r="D510" i="1"/>
  <c r="N509" i="1"/>
  <c r="I509" i="1"/>
  <c r="D509" i="1"/>
  <c r="N508" i="1"/>
  <c r="I508" i="1"/>
  <c r="D508" i="1"/>
  <c r="N507" i="1"/>
  <c r="I507" i="1"/>
  <c r="D507" i="1"/>
  <c r="N506" i="1"/>
  <c r="I506" i="1"/>
  <c r="D506" i="1"/>
  <c r="N505" i="1"/>
  <c r="I505" i="1"/>
  <c r="D505" i="1"/>
  <c r="N504" i="1"/>
  <c r="I504" i="1"/>
  <c r="D504" i="1"/>
  <c r="R503" i="1"/>
  <c r="Q503" i="1"/>
  <c r="P503" i="1"/>
  <c r="O503" i="1"/>
  <c r="L503" i="1"/>
  <c r="K503" i="1"/>
  <c r="J503" i="1"/>
  <c r="H503" i="1"/>
  <c r="G503" i="1"/>
  <c r="F503" i="1"/>
  <c r="E503" i="1"/>
  <c r="N500" i="1"/>
  <c r="I500" i="1"/>
  <c r="D500" i="1"/>
  <c r="R499" i="1"/>
  <c r="Q499" i="1"/>
  <c r="P499" i="1"/>
  <c r="O499" i="1"/>
  <c r="M499" i="1"/>
  <c r="L499" i="1"/>
  <c r="K499" i="1"/>
  <c r="J499" i="1"/>
  <c r="H499" i="1"/>
  <c r="H497" i="1" s="1"/>
  <c r="G499" i="1"/>
  <c r="G497" i="1" s="1"/>
  <c r="F499" i="1"/>
  <c r="F497" i="1" s="1"/>
  <c r="E499" i="1"/>
  <c r="N496" i="1"/>
  <c r="I496" i="1"/>
  <c r="D496" i="1"/>
  <c r="R495" i="1"/>
  <c r="Q495" i="1"/>
  <c r="P495" i="1"/>
  <c r="O495" i="1"/>
  <c r="M495" i="1"/>
  <c r="L495" i="1"/>
  <c r="K495" i="1"/>
  <c r="J495" i="1"/>
  <c r="H495" i="1"/>
  <c r="H493" i="1" s="1"/>
  <c r="G495" i="1"/>
  <c r="G493" i="1" s="1"/>
  <c r="F495" i="1"/>
  <c r="F493" i="1" s="1"/>
  <c r="E495" i="1"/>
  <c r="E493" i="1" s="1"/>
  <c r="R493" i="1"/>
  <c r="Q493" i="1"/>
  <c r="N492" i="1"/>
  <c r="I492" i="1"/>
  <c r="D492" i="1"/>
  <c r="R491" i="1"/>
  <c r="Q491" i="1"/>
  <c r="P491" i="1"/>
  <c r="O491" i="1"/>
  <c r="M491" i="1"/>
  <c r="L491" i="1"/>
  <c r="K491" i="1"/>
  <c r="J491" i="1"/>
  <c r="H491" i="1"/>
  <c r="G491" i="1"/>
  <c r="F491" i="1"/>
  <c r="E491" i="1"/>
  <c r="N490" i="1"/>
  <c r="I490" i="1"/>
  <c r="D490" i="1"/>
  <c r="N489" i="1"/>
  <c r="I489" i="1"/>
  <c r="D489" i="1"/>
  <c r="R488" i="1"/>
  <c r="Q488" i="1"/>
  <c r="P488" i="1"/>
  <c r="O488" i="1"/>
  <c r="M488" i="1"/>
  <c r="L488" i="1"/>
  <c r="K488" i="1"/>
  <c r="J488" i="1"/>
  <c r="H488" i="1"/>
  <c r="G488" i="1"/>
  <c r="F488" i="1"/>
  <c r="E488" i="1"/>
  <c r="N487" i="1"/>
  <c r="I487" i="1"/>
  <c r="D487" i="1"/>
  <c r="N486" i="1"/>
  <c r="I486" i="1"/>
  <c r="D486" i="1"/>
  <c r="R485" i="1"/>
  <c r="Q485" i="1"/>
  <c r="P485" i="1"/>
  <c r="O485" i="1"/>
  <c r="M485" i="1"/>
  <c r="L485" i="1"/>
  <c r="K485" i="1"/>
  <c r="J485" i="1"/>
  <c r="H485" i="1"/>
  <c r="G485" i="1"/>
  <c r="F485" i="1"/>
  <c r="E485" i="1"/>
  <c r="N484" i="1"/>
  <c r="I484" i="1"/>
  <c r="D484" i="1"/>
  <c r="N483" i="1"/>
  <c r="I483" i="1"/>
  <c r="D483" i="1"/>
  <c r="R482" i="1"/>
  <c r="Q482" i="1"/>
  <c r="P482" i="1"/>
  <c r="O482" i="1"/>
  <c r="M482" i="1"/>
  <c r="L482" i="1"/>
  <c r="K482" i="1"/>
  <c r="J482" i="1"/>
  <c r="H482" i="1"/>
  <c r="G482" i="1"/>
  <c r="F482" i="1"/>
  <c r="E482" i="1"/>
  <c r="N479" i="1"/>
  <c r="I479" i="1"/>
  <c r="D479" i="1"/>
  <c r="N478" i="1"/>
  <c r="I478" i="1"/>
  <c r="D478" i="1"/>
  <c r="R477" i="1"/>
  <c r="Q477" i="1"/>
  <c r="P477" i="1"/>
  <c r="O477" i="1"/>
  <c r="M477" i="1"/>
  <c r="L477" i="1"/>
  <c r="J477" i="1"/>
  <c r="H477" i="1"/>
  <c r="G477" i="1"/>
  <c r="F477" i="1"/>
  <c r="E477" i="1"/>
  <c r="N476" i="1"/>
  <c r="I476" i="1"/>
  <c r="D476" i="1"/>
  <c r="R475" i="1"/>
  <c r="Q475" i="1"/>
  <c r="P475" i="1"/>
  <c r="O475" i="1"/>
  <c r="M475" i="1"/>
  <c r="L475" i="1"/>
  <c r="K475" i="1"/>
  <c r="J475" i="1"/>
  <c r="H475" i="1"/>
  <c r="G475" i="1"/>
  <c r="F475" i="1"/>
  <c r="E475" i="1"/>
  <c r="N474" i="1"/>
  <c r="I474" i="1"/>
  <c r="D474" i="1"/>
  <c r="R473" i="1"/>
  <c r="Q473" i="1"/>
  <c r="P473" i="1"/>
  <c r="O473" i="1"/>
  <c r="M473" i="1"/>
  <c r="L473" i="1"/>
  <c r="K473" i="1"/>
  <c r="J473" i="1"/>
  <c r="H473" i="1"/>
  <c r="G473" i="1"/>
  <c r="F473" i="1"/>
  <c r="E473" i="1"/>
  <c r="N472" i="1"/>
  <c r="I472" i="1"/>
  <c r="D472" i="1"/>
  <c r="N471" i="1"/>
  <c r="I471" i="1"/>
  <c r="D471" i="1"/>
  <c r="N470" i="1"/>
  <c r="I470" i="1"/>
  <c r="D470" i="1"/>
  <c r="R469" i="1"/>
  <c r="Q469" i="1"/>
  <c r="P469" i="1"/>
  <c r="O469" i="1"/>
  <c r="M469" i="1"/>
  <c r="L469" i="1"/>
  <c r="K469" i="1"/>
  <c r="J469" i="1"/>
  <c r="H469" i="1"/>
  <c r="G469" i="1"/>
  <c r="F469" i="1"/>
  <c r="E469" i="1"/>
  <c r="N468" i="1"/>
  <c r="I468" i="1"/>
  <c r="D468" i="1"/>
  <c r="R467" i="1"/>
  <c r="Q467" i="1"/>
  <c r="P467" i="1"/>
  <c r="O467" i="1"/>
  <c r="M467" i="1"/>
  <c r="L467" i="1"/>
  <c r="K467" i="1"/>
  <c r="J467" i="1"/>
  <c r="H467" i="1"/>
  <c r="G467" i="1"/>
  <c r="F467" i="1"/>
  <c r="E467" i="1"/>
  <c r="N462" i="1"/>
  <c r="I462" i="1"/>
  <c r="D462" i="1"/>
  <c r="R461" i="1"/>
  <c r="Q461" i="1"/>
  <c r="P461" i="1"/>
  <c r="O461" i="1"/>
  <c r="M461" i="1"/>
  <c r="L461" i="1"/>
  <c r="K461" i="1"/>
  <c r="J461" i="1"/>
  <c r="H461" i="1"/>
  <c r="H459" i="1" s="1"/>
  <c r="G461" i="1"/>
  <c r="G459" i="1" s="1"/>
  <c r="F461" i="1"/>
  <c r="F459" i="1" s="1"/>
  <c r="E461" i="1"/>
  <c r="E459" i="1" s="1"/>
  <c r="N458" i="1"/>
  <c r="I458" i="1"/>
  <c r="D458" i="1"/>
  <c r="R457" i="1"/>
  <c r="Q457" i="1"/>
  <c r="P457" i="1"/>
  <c r="O457" i="1"/>
  <c r="M457" i="1"/>
  <c r="L457" i="1"/>
  <c r="K457" i="1"/>
  <c r="J457" i="1"/>
  <c r="H457" i="1"/>
  <c r="G457" i="1"/>
  <c r="F457" i="1"/>
  <c r="E457" i="1"/>
  <c r="N456" i="1"/>
  <c r="I456" i="1"/>
  <c r="D456" i="1"/>
  <c r="R455" i="1"/>
  <c r="Q455" i="1"/>
  <c r="P455" i="1"/>
  <c r="O455" i="1"/>
  <c r="M455" i="1"/>
  <c r="L455" i="1"/>
  <c r="K455" i="1"/>
  <c r="J455" i="1"/>
  <c r="H455" i="1"/>
  <c r="G455" i="1"/>
  <c r="F455" i="1"/>
  <c r="E455" i="1"/>
  <c r="N454" i="1"/>
  <c r="I454" i="1"/>
  <c r="D454" i="1"/>
  <c r="R453" i="1"/>
  <c r="Q453" i="1"/>
  <c r="P453" i="1"/>
  <c r="O453" i="1"/>
  <c r="M453" i="1"/>
  <c r="L453" i="1"/>
  <c r="K453" i="1"/>
  <c r="J453" i="1"/>
  <c r="H453" i="1"/>
  <c r="G453" i="1"/>
  <c r="F453" i="1"/>
  <c r="E453" i="1"/>
  <c r="N450" i="1"/>
  <c r="I450" i="1"/>
  <c r="D450" i="1"/>
  <c r="R449" i="1"/>
  <c r="Q449" i="1"/>
  <c r="P449" i="1"/>
  <c r="O449" i="1"/>
  <c r="M449" i="1"/>
  <c r="L449" i="1"/>
  <c r="K449" i="1"/>
  <c r="J449" i="1"/>
  <c r="H449" i="1"/>
  <c r="G449" i="1"/>
  <c r="F449" i="1"/>
  <c r="E449" i="1"/>
  <c r="N448" i="1"/>
  <c r="I448" i="1"/>
  <c r="D448" i="1"/>
  <c r="R447" i="1"/>
  <c r="Q447" i="1"/>
  <c r="P447" i="1"/>
  <c r="O447" i="1"/>
  <c r="M447" i="1"/>
  <c r="L447" i="1"/>
  <c r="K447" i="1"/>
  <c r="J447" i="1"/>
  <c r="H447" i="1"/>
  <c r="G447" i="1"/>
  <c r="F447" i="1"/>
  <c r="E447" i="1"/>
  <c r="N446" i="1"/>
  <c r="I446" i="1"/>
  <c r="D446" i="1"/>
  <c r="N445" i="1"/>
  <c r="I445" i="1"/>
  <c r="D445" i="1"/>
  <c r="R444" i="1"/>
  <c r="Q444" i="1"/>
  <c r="P444" i="1"/>
  <c r="O444" i="1"/>
  <c r="M444" i="1"/>
  <c r="L444" i="1"/>
  <c r="K444" i="1"/>
  <c r="J444" i="1"/>
  <c r="H444" i="1"/>
  <c r="G444" i="1"/>
  <c r="F444" i="1"/>
  <c r="E444" i="1"/>
  <c r="N443" i="1"/>
  <c r="I443" i="1"/>
  <c r="D443" i="1"/>
  <c r="R442" i="1"/>
  <c r="Q442" i="1"/>
  <c r="P442" i="1"/>
  <c r="O442" i="1"/>
  <c r="M442" i="1"/>
  <c r="L442" i="1"/>
  <c r="K442" i="1"/>
  <c r="J442" i="1"/>
  <c r="H442" i="1"/>
  <c r="G442" i="1"/>
  <c r="F442" i="1"/>
  <c r="E442" i="1"/>
  <c r="N441" i="1"/>
  <c r="I441" i="1"/>
  <c r="D441" i="1"/>
  <c r="R440" i="1"/>
  <c r="Q440" i="1"/>
  <c r="P440" i="1"/>
  <c r="O440" i="1"/>
  <c r="M440" i="1"/>
  <c r="L440" i="1"/>
  <c r="K440" i="1"/>
  <c r="J440" i="1"/>
  <c r="H440" i="1"/>
  <c r="G440" i="1"/>
  <c r="F440" i="1"/>
  <c r="E440" i="1"/>
  <c r="N437" i="1"/>
  <c r="I437" i="1"/>
  <c r="D437" i="1"/>
  <c r="T442" i="1" l="1"/>
  <c r="U453" i="1"/>
  <c r="V469" i="1"/>
  <c r="V482" i="1"/>
  <c r="T499" i="1"/>
  <c r="V520" i="1"/>
  <c r="U546" i="1"/>
  <c r="T552" i="1"/>
  <c r="U554" i="1"/>
  <c r="V566" i="1"/>
  <c r="V577" i="1"/>
  <c r="T616" i="1"/>
  <c r="V619" i="1"/>
  <c r="V632" i="1"/>
  <c r="S652" i="1"/>
  <c r="V763" i="1"/>
  <c r="U800" i="1"/>
  <c r="T804" i="1"/>
  <c r="V809" i="1"/>
  <c r="V823" i="1"/>
  <c r="U837" i="1"/>
  <c r="S850" i="1"/>
  <c r="T854" i="1"/>
  <c r="S866" i="1"/>
  <c r="U871" i="1"/>
  <c r="S924" i="1"/>
  <c r="U449" i="1"/>
  <c r="S450" i="1"/>
  <c r="V453" i="1"/>
  <c r="T457" i="1"/>
  <c r="S462" i="1"/>
  <c r="V467" i="1"/>
  <c r="S472" i="1"/>
  <c r="V473" i="1"/>
  <c r="T477" i="1"/>
  <c r="U485" i="1"/>
  <c r="U491" i="1"/>
  <c r="V503" i="1"/>
  <c r="T522" i="1"/>
  <c r="T535" i="1"/>
  <c r="V538" i="1"/>
  <c r="T542" i="1"/>
  <c r="U544" i="1"/>
  <c r="V546" i="1"/>
  <c r="T550" i="1"/>
  <c r="U552" i="1"/>
  <c r="V554" i="1"/>
  <c r="T560" i="1"/>
  <c r="T568" i="1"/>
  <c r="V575" i="1"/>
  <c r="V581" i="1"/>
  <c r="T584" i="1"/>
  <c r="U586" i="1"/>
  <c r="T614" i="1"/>
  <c r="U616" i="1"/>
  <c r="U622" i="1"/>
  <c r="V628" i="1"/>
  <c r="T634" i="1"/>
  <c r="U638" i="1"/>
  <c r="S639" i="1"/>
  <c r="U643" i="1"/>
  <c r="V666" i="1"/>
  <c r="V687" i="1"/>
  <c r="U695" i="1"/>
  <c r="V713" i="1"/>
  <c r="T720" i="1"/>
  <c r="U742" i="1"/>
  <c r="T756" i="1"/>
  <c r="U758" i="1"/>
  <c r="S759" i="1"/>
  <c r="U766" i="1"/>
  <c r="V768" i="1"/>
  <c r="V774" i="1"/>
  <c r="T777" i="1"/>
  <c r="V780" i="1"/>
  <c r="U784" i="1"/>
  <c r="V800" i="1"/>
  <c r="U804" i="1"/>
  <c r="T811" i="1"/>
  <c r="U815" i="1"/>
  <c r="U820" i="1"/>
  <c r="S821" i="1"/>
  <c r="T829" i="1"/>
  <c r="U831" i="1"/>
  <c r="V837" i="1"/>
  <c r="U854" i="1"/>
  <c r="T861" i="1"/>
  <c r="U863" i="1"/>
  <c r="V865" i="1"/>
  <c r="U869" i="1"/>
  <c r="V871" i="1"/>
  <c r="T874" i="1"/>
  <c r="T921" i="1"/>
  <c r="T1001" i="1"/>
  <c r="U444" i="1"/>
  <c r="T449" i="1"/>
  <c r="V455" i="1"/>
  <c r="S468" i="1"/>
  <c r="U473" i="1"/>
  <c r="T485" i="1"/>
  <c r="U538" i="1"/>
  <c r="V548" i="1"/>
  <c r="U575" i="1"/>
  <c r="U581" i="1"/>
  <c r="T586" i="1"/>
  <c r="T622" i="1"/>
  <c r="U628" i="1"/>
  <c r="T643" i="1"/>
  <c r="U659" i="1"/>
  <c r="U666" i="1"/>
  <c r="S667" i="1"/>
  <c r="V679" i="1"/>
  <c r="U687" i="1"/>
  <c r="T695" i="1"/>
  <c r="U713" i="1"/>
  <c r="T766" i="1"/>
  <c r="V770" i="1"/>
  <c r="U780" i="1"/>
  <c r="T784" i="1"/>
  <c r="T815" i="1"/>
  <c r="S817" i="1"/>
  <c r="T820" i="1"/>
  <c r="S822" i="1"/>
  <c r="S833" i="1"/>
  <c r="S838" i="1"/>
  <c r="S845" i="1"/>
  <c r="V846" i="1"/>
  <c r="V851" i="1"/>
  <c r="S856" i="1"/>
  <c r="V857" i="1"/>
  <c r="U865" i="1"/>
  <c r="S872" i="1"/>
  <c r="T440" i="1"/>
  <c r="U442" i="1"/>
  <c r="S443" i="1"/>
  <c r="V444" i="1"/>
  <c r="T447" i="1"/>
  <c r="U440" i="1"/>
  <c r="S441" i="1"/>
  <c r="V442" i="1"/>
  <c r="U447" i="1"/>
  <c r="S448" i="1"/>
  <c r="V449" i="1"/>
  <c r="T455" i="1"/>
  <c r="U457" i="1"/>
  <c r="S458" i="1"/>
  <c r="T469" i="1"/>
  <c r="S471" i="1"/>
  <c r="T475" i="1"/>
  <c r="V477" i="1"/>
  <c r="T482" i="1"/>
  <c r="S484" i="1"/>
  <c r="T488" i="1"/>
  <c r="S490" i="1"/>
  <c r="V491" i="1"/>
  <c r="S496" i="1"/>
  <c r="S505" i="1"/>
  <c r="S509" i="1"/>
  <c r="S513" i="1"/>
  <c r="S517" i="1"/>
  <c r="T520" i="1"/>
  <c r="U522" i="1"/>
  <c r="S523" i="1"/>
  <c r="T531" i="1"/>
  <c r="U535" i="1"/>
  <c r="S536" i="1"/>
  <c r="T540" i="1"/>
  <c r="U542" i="1"/>
  <c r="S543" i="1"/>
  <c r="V544" i="1"/>
  <c r="T548" i="1"/>
  <c r="U550" i="1"/>
  <c r="S551" i="1"/>
  <c r="V552" i="1"/>
  <c r="T556" i="1"/>
  <c r="S561" i="1"/>
  <c r="T566" i="1"/>
  <c r="U568" i="1"/>
  <c r="S569" i="1"/>
  <c r="S573" i="1"/>
  <c r="T577" i="1"/>
  <c r="S579" i="1"/>
  <c r="U584" i="1"/>
  <c r="S585" i="1"/>
  <c r="V586" i="1"/>
  <c r="T591" i="1"/>
  <c r="S593" i="1"/>
  <c r="S597" i="1"/>
  <c r="S601" i="1"/>
  <c r="S605" i="1"/>
  <c r="S609" i="1"/>
  <c r="T612" i="1"/>
  <c r="U614" i="1"/>
  <c r="S615" i="1"/>
  <c r="V616" i="1"/>
  <c r="T619" i="1"/>
  <c r="S621" i="1"/>
  <c r="V622" i="1"/>
  <c r="S626" i="1"/>
  <c r="T632" i="1"/>
  <c r="U634" i="1"/>
  <c r="S635" i="1"/>
  <c r="S642" i="1"/>
  <c r="V643" i="1"/>
  <c r="S654" i="1"/>
  <c r="S662" i="1"/>
  <c r="T668" i="1"/>
  <c r="S669" i="1"/>
  <c r="S673" i="1"/>
  <c r="S677" i="1"/>
  <c r="S681" i="1"/>
  <c r="S685" i="1"/>
  <c r="S690" i="1"/>
  <c r="S694" i="1"/>
  <c r="V695" i="1"/>
  <c r="S699" i="1"/>
  <c r="S703" i="1"/>
  <c r="S707" i="1"/>
  <c r="S711" i="1"/>
  <c r="S716" i="1"/>
  <c r="U720" i="1"/>
  <c r="S721" i="1"/>
  <c r="S725" i="1"/>
  <c r="S729" i="1"/>
  <c r="S733" i="1"/>
  <c r="S737" i="1"/>
  <c r="S741" i="1"/>
  <c r="V742" i="1"/>
  <c r="S746" i="1"/>
  <c r="S750" i="1"/>
  <c r="U756" i="1"/>
  <c r="S757" i="1"/>
  <c r="V758" i="1"/>
  <c r="T763" i="1"/>
  <c r="S765" i="1"/>
  <c r="V766" i="1"/>
  <c r="T770" i="1"/>
  <c r="S772" i="1"/>
  <c r="U777" i="1"/>
  <c r="S778" i="1"/>
  <c r="S783" i="1"/>
  <c r="S787" i="1"/>
  <c r="S791" i="1"/>
  <c r="S795" i="1"/>
  <c r="S799" i="1"/>
  <c r="S803" i="1"/>
  <c r="V804" i="1"/>
  <c r="T809" i="1"/>
  <c r="U811" i="1"/>
  <c r="S812" i="1"/>
  <c r="V815" i="1"/>
  <c r="S819" i="1"/>
  <c r="V820" i="1"/>
  <c r="T823" i="1"/>
  <c r="S825" i="1"/>
  <c r="U829" i="1"/>
  <c r="S830" i="1"/>
  <c r="V831" i="1"/>
  <c r="S835" i="1"/>
  <c r="T841" i="1"/>
  <c r="S843" i="1"/>
  <c r="T846" i="1"/>
  <c r="S848" i="1"/>
  <c r="T851" i="1"/>
  <c r="S853" i="1"/>
  <c r="V854" i="1"/>
  <c r="T857" i="1"/>
  <c r="U861" i="1"/>
  <c r="S862" i="1"/>
  <c r="V863" i="1"/>
  <c r="T867" i="1"/>
  <c r="V869" i="1"/>
  <c r="U874" i="1"/>
  <c r="S875" i="1"/>
  <c r="U921" i="1"/>
  <c r="U1001" i="1"/>
  <c r="U467" i="1"/>
  <c r="V475" i="1"/>
  <c r="V488" i="1"/>
  <c r="T491" i="1"/>
  <c r="U503" i="1"/>
  <c r="V540" i="1"/>
  <c r="T544" i="1"/>
  <c r="V556" i="1"/>
  <c r="V591" i="1"/>
  <c r="V612" i="1"/>
  <c r="T742" i="1"/>
  <c r="T758" i="1"/>
  <c r="U768" i="1"/>
  <c r="U774" i="1"/>
  <c r="S827" i="1"/>
  <c r="T831" i="1"/>
  <c r="V841" i="1"/>
  <c r="T863" i="1"/>
  <c r="V867" i="1"/>
  <c r="T869" i="1"/>
  <c r="V440" i="1"/>
  <c r="T444" i="1"/>
  <c r="V447" i="1"/>
  <c r="T453" i="1"/>
  <c r="U455" i="1"/>
  <c r="V457" i="1"/>
  <c r="T467" i="1"/>
  <c r="U469" i="1"/>
  <c r="T473" i="1"/>
  <c r="U475" i="1"/>
  <c r="S476" i="1"/>
  <c r="U482" i="1"/>
  <c r="U488" i="1"/>
  <c r="T503" i="1"/>
  <c r="U520" i="1"/>
  <c r="V522" i="1"/>
  <c r="V535" i="1"/>
  <c r="T538" i="1"/>
  <c r="U540" i="1"/>
  <c r="V542" i="1"/>
  <c r="T546" i="1"/>
  <c r="U548" i="1"/>
  <c r="V550" i="1"/>
  <c r="T554" i="1"/>
  <c r="U556" i="1"/>
  <c r="U566" i="1"/>
  <c r="V568" i="1"/>
  <c r="T575" i="1"/>
  <c r="U577" i="1"/>
  <c r="T581" i="1"/>
  <c r="V584" i="1"/>
  <c r="U591" i="1"/>
  <c r="U612" i="1"/>
  <c r="V614" i="1"/>
  <c r="U619" i="1"/>
  <c r="T628" i="1"/>
  <c r="U632" i="1"/>
  <c r="V634" i="1"/>
  <c r="S641" i="1"/>
  <c r="T666" i="1"/>
  <c r="V668" i="1"/>
  <c r="T679" i="1"/>
  <c r="T687" i="1"/>
  <c r="T713" i="1"/>
  <c r="V720" i="1"/>
  <c r="V756" i="1"/>
  <c r="U763" i="1"/>
  <c r="T768" i="1"/>
  <c r="U770" i="1"/>
  <c r="T774" i="1"/>
  <c r="V777" i="1"/>
  <c r="T780" i="1"/>
  <c r="U809" i="1"/>
  <c r="V811" i="1"/>
  <c r="U823" i="1"/>
  <c r="V829" i="1"/>
  <c r="T837" i="1"/>
  <c r="U841" i="1"/>
  <c r="U846" i="1"/>
  <c r="U851" i="1"/>
  <c r="U857" i="1"/>
  <c r="V861" i="1"/>
  <c r="T865" i="1"/>
  <c r="U867" i="1"/>
  <c r="T871" i="1"/>
  <c r="V874" i="1"/>
  <c r="V921" i="1"/>
  <c r="V1001" i="1"/>
  <c r="K493" i="1"/>
  <c r="U495" i="1"/>
  <c r="L497" i="1"/>
  <c r="V499" i="1"/>
  <c r="M525" i="1"/>
  <c r="K558" i="1"/>
  <c r="U560" i="1"/>
  <c r="L636" i="1"/>
  <c r="V638" i="1"/>
  <c r="M645" i="1"/>
  <c r="M657" i="1"/>
  <c r="I868" i="1"/>
  <c r="U668" i="1"/>
  <c r="I1001" i="1"/>
  <c r="S1003" i="1"/>
  <c r="L459" i="1"/>
  <c r="V461" i="1"/>
  <c r="S437" i="1"/>
  <c r="S446" i="1"/>
  <c r="S456" i="1"/>
  <c r="M459" i="1"/>
  <c r="S470" i="1"/>
  <c r="S483" i="1"/>
  <c r="S489" i="1"/>
  <c r="L493" i="1"/>
  <c r="V495" i="1"/>
  <c r="M497" i="1"/>
  <c r="S504" i="1"/>
  <c r="S508" i="1"/>
  <c r="S512" i="1"/>
  <c r="S516" i="1"/>
  <c r="S521" i="1"/>
  <c r="J525" i="1"/>
  <c r="T527" i="1"/>
  <c r="K529" i="1"/>
  <c r="U531" i="1"/>
  <c r="S532" i="1"/>
  <c r="S541" i="1"/>
  <c r="S549" i="1"/>
  <c r="S557" i="1"/>
  <c r="L558" i="1"/>
  <c r="V560" i="1"/>
  <c r="S567" i="1"/>
  <c r="S572" i="1"/>
  <c r="S578" i="1"/>
  <c r="S583" i="1"/>
  <c r="S592" i="1"/>
  <c r="S596" i="1"/>
  <c r="S600" i="1"/>
  <c r="S604" i="1"/>
  <c r="S608" i="1"/>
  <c r="S613" i="1"/>
  <c r="S620" i="1"/>
  <c r="S625" i="1"/>
  <c r="S633" i="1"/>
  <c r="M636" i="1"/>
  <c r="J645" i="1"/>
  <c r="T647" i="1"/>
  <c r="J649" i="1"/>
  <c r="T651" i="1"/>
  <c r="S653" i="1"/>
  <c r="J657" i="1"/>
  <c r="T659" i="1"/>
  <c r="S661" i="1"/>
  <c r="S672" i="1"/>
  <c r="S676" i="1"/>
  <c r="S680" i="1"/>
  <c r="S684" i="1"/>
  <c r="S689" i="1"/>
  <c r="S693" i="1"/>
  <c r="S698" i="1"/>
  <c r="S702" i="1"/>
  <c r="S706" i="1"/>
  <c r="S710" i="1"/>
  <c r="S715" i="1"/>
  <c r="S719" i="1"/>
  <c r="S724" i="1"/>
  <c r="S728" i="1"/>
  <c r="S732" i="1"/>
  <c r="S736" i="1"/>
  <c r="S740" i="1"/>
  <c r="S745" i="1"/>
  <c r="S749" i="1"/>
  <c r="S753" i="1"/>
  <c r="S764" i="1"/>
  <c r="S771" i="1"/>
  <c r="S776" i="1"/>
  <c r="S782" i="1"/>
  <c r="S786" i="1"/>
  <c r="S790" i="1"/>
  <c r="S794" i="1"/>
  <c r="S798" i="1"/>
  <c r="S802" i="1"/>
  <c r="S810" i="1"/>
  <c r="S818" i="1"/>
  <c r="S824" i="1"/>
  <c r="S828" i="1"/>
  <c r="S834" i="1"/>
  <c r="S842" i="1"/>
  <c r="S847" i="1"/>
  <c r="S852" i="1"/>
  <c r="S858" i="1"/>
  <c r="S873" i="1"/>
  <c r="U679" i="1"/>
  <c r="U963" i="1"/>
  <c r="V485" i="1"/>
  <c r="S445" i="1"/>
  <c r="S454" i="1"/>
  <c r="J459" i="1"/>
  <c r="T461" i="1"/>
  <c r="S474" i="1"/>
  <c r="S479" i="1"/>
  <c r="S487" i="1"/>
  <c r="M493" i="1"/>
  <c r="S507" i="1"/>
  <c r="S511" i="1"/>
  <c r="S515" i="1"/>
  <c r="S519" i="1"/>
  <c r="K525" i="1"/>
  <c r="U527" i="1"/>
  <c r="S528" i="1"/>
  <c r="L529" i="1"/>
  <c r="V531" i="1"/>
  <c r="S539" i="1"/>
  <c r="S547" i="1"/>
  <c r="S555" i="1"/>
  <c r="M558" i="1"/>
  <c r="S563" i="1"/>
  <c r="S571" i="1"/>
  <c r="S576" i="1"/>
  <c r="S582" i="1"/>
  <c r="S588" i="1"/>
  <c r="S595" i="1"/>
  <c r="S599" i="1"/>
  <c r="S603" i="1"/>
  <c r="S607" i="1"/>
  <c r="S611" i="1"/>
  <c r="S618" i="1"/>
  <c r="S624" i="1"/>
  <c r="S629" i="1"/>
  <c r="J636" i="1"/>
  <c r="T638" i="1"/>
  <c r="S640" i="1"/>
  <c r="K645" i="1"/>
  <c r="U647" i="1"/>
  <c r="S648" i="1"/>
  <c r="K649" i="1"/>
  <c r="U651" i="1"/>
  <c r="S656" i="1"/>
  <c r="S660" i="1"/>
  <c r="S671" i="1"/>
  <c r="S675" i="1"/>
  <c r="S683" i="1"/>
  <c r="S688" i="1"/>
  <c r="S692" i="1"/>
  <c r="S697" i="1"/>
  <c r="S701" i="1"/>
  <c r="S705" i="1"/>
  <c r="S709" i="1"/>
  <c r="S714" i="1"/>
  <c r="S718" i="1"/>
  <c r="S723" i="1"/>
  <c r="S727" i="1"/>
  <c r="S731" i="1"/>
  <c r="S735" i="1"/>
  <c r="S739" i="1"/>
  <c r="S744" i="1"/>
  <c r="S748" i="1"/>
  <c r="S752" i="1"/>
  <c r="S760" i="1"/>
  <c r="S769" i="1"/>
  <c r="S775" i="1"/>
  <c r="S781" i="1"/>
  <c r="S785" i="1"/>
  <c r="S789" i="1"/>
  <c r="S793" i="1"/>
  <c r="S797" i="1"/>
  <c r="S801" i="1"/>
  <c r="S806" i="1"/>
  <c r="U477" i="1"/>
  <c r="V784" i="1"/>
  <c r="K459" i="1"/>
  <c r="U461" i="1"/>
  <c r="S478" i="1"/>
  <c r="S486" i="1"/>
  <c r="S492" i="1"/>
  <c r="J493" i="1"/>
  <c r="T495" i="1"/>
  <c r="K497" i="1"/>
  <c r="U499" i="1"/>
  <c r="S500" i="1"/>
  <c r="S506" i="1"/>
  <c r="S510" i="1"/>
  <c r="S514" i="1"/>
  <c r="S518" i="1"/>
  <c r="S524" i="1"/>
  <c r="L525" i="1"/>
  <c r="V527" i="1"/>
  <c r="M529" i="1"/>
  <c r="S537" i="1"/>
  <c r="S545" i="1"/>
  <c r="S553" i="1"/>
  <c r="S562" i="1"/>
  <c r="S570" i="1"/>
  <c r="S574" i="1"/>
  <c r="S580" i="1"/>
  <c r="S587" i="1"/>
  <c r="S594" i="1"/>
  <c r="S598" i="1"/>
  <c r="S602" i="1"/>
  <c r="S606" i="1"/>
  <c r="S610" i="1"/>
  <c r="S617" i="1"/>
  <c r="S623" i="1"/>
  <c r="S627" i="1"/>
  <c r="S644" i="1"/>
  <c r="L645" i="1"/>
  <c r="V647" i="1"/>
  <c r="L649" i="1"/>
  <c r="V651" i="1"/>
  <c r="S655" i="1"/>
  <c r="L657" i="1"/>
  <c r="V659" i="1"/>
  <c r="S663" i="1"/>
  <c r="S670" i="1"/>
  <c r="S674" i="1"/>
  <c r="S678" i="1"/>
  <c r="S682" i="1"/>
  <c r="S686" i="1"/>
  <c r="S691" i="1"/>
  <c r="S696" i="1"/>
  <c r="S700" i="1"/>
  <c r="S704" i="1"/>
  <c r="S708" i="1"/>
  <c r="S712" i="1"/>
  <c r="S717" i="1"/>
  <c r="S722" i="1"/>
  <c r="S726" i="1"/>
  <c r="S730" i="1"/>
  <c r="S734" i="1"/>
  <c r="S738" i="1"/>
  <c r="S743" i="1"/>
  <c r="S747" i="1"/>
  <c r="S751" i="1"/>
  <c r="S767" i="1"/>
  <c r="S773" i="1"/>
  <c r="S779" i="1"/>
  <c r="S788" i="1"/>
  <c r="S792" i="1"/>
  <c r="S796" i="1"/>
  <c r="S805" i="1"/>
  <c r="S816" i="1"/>
  <c r="S826" i="1"/>
  <c r="S832" i="1"/>
  <c r="S836" i="1"/>
  <c r="S844" i="1"/>
  <c r="S849" i="1"/>
  <c r="S855" i="1"/>
  <c r="S864" i="1"/>
  <c r="S870" i="1"/>
  <c r="T800" i="1"/>
  <c r="T963" i="1"/>
  <c r="V963" i="1"/>
  <c r="O497" i="1"/>
  <c r="P525" i="1"/>
  <c r="R558" i="1"/>
  <c r="P645" i="1"/>
  <c r="P657" i="1"/>
  <c r="L664" i="1"/>
  <c r="H807" i="1"/>
  <c r="N815" i="1"/>
  <c r="Q813" i="1"/>
  <c r="N831" i="1"/>
  <c r="Q459" i="1"/>
  <c r="P493" i="1"/>
  <c r="P497" i="1"/>
  <c r="Q525" i="1"/>
  <c r="O558" i="1"/>
  <c r="Q645" i="1"/>
  <c r="Q649" i="1"/>
  <c r="Q657" i="1"/>
  <c r="R459" i="1"/>
  <c r="Q497" i="1"/>
  <c r="R525" i="1"/>
  <c r="P558" i="1"/>
  <c r="Q636" i="1"/>
  <c r="R645" i="1"/>
  <c r="R649" i="1"/>
  <c r="N1001" i="1"/>
  <c r="O459" i="1"/>
  <c r="G480" i="1"/>
  <c r="E480" i="1"/>
  <c r="R497" i="1"/>
  <c r="O525" i="1"/>
  <c r="P529" i="1"/>
  <c r="Q558" i="1"/>
  <c r="O649" i="1"/>
  <c r="O754" i="1"/>
  <c r="M867" i="1"/>
  <c r="H501" i="1"/>
  <c r="I668" i="1"/>
  <c r="O501" i="1"/>
  <c r="F807" i="1"/>
  <c r="G630" i="1"/>
  <c r="Q630" i="1"/>
  <c r="G754" i="1"/>
  <c r="I784" i="1"/>
  <c r="I800" i="1"/>
  <c r="D921" i="1"/>
  <c r="D612" i="1"/>
  <c r="I616" i="1"/>
  <c r="N622" i="1"/>
  <c r="M630" i="1"/>
  <c r="D713" i="1"/>
  <c r="N695" i="1"/>
  <c r="N449" i="1"/>
  <c r="I768" i="1"/>
  <c r="N768" i="1"/>
  <c r="D774" i="1"/>
  <c r="N774" i="1"/>
  <c r="I780" i="1"/>
  <c r="M807" i="1"/>
  <c r="R807" i="1"/>
  <c r="E859" i="1"/>
  <c r="I453" i="1"/>
  <c r="N473" i="1"/>
  <c r="N475" i="1"/>
  <c r="M465" i="1"/>
  <c r="N485" i="1"/>
  <c r="I488" i="1"/>
  <c r="O480" i="1"/>
  <c r="I542" i="1"/>
  <c r="H630" i="1"/>
  <c r="R630" i="1"/>
  <c r="N679" i="1"/>
  <c r="I695" i="1"/>
  <c r="I720" i="1"/>
  <c r="I811" i="1"/>
  <c r="J839" i="1"/>
  <c r="I851" i="1"/>
  <c r="P438" i="1"/>
  <c r="I584" i="1"/>
  <c r="H438" i="1"/>
  <c r="O451" i="1"/>
  <c r="I457" i="1"/>
  <c r="P451" i="1"/>
  <c r="H451" i="1"/>
  <c r="R451" i="1"/>
  <c r="R480" i="1"/>
  <c r="P501" i="1"/>
  <c r="D527" i="1"/>
  <c r="F533" i="1"/>
  <c r="P533" i="1"/>
  <c r="H533" i="1"/>
  <c r="J630" i="1"/>
  <c r="O630" i="1"/>
  <c r="D634" i="1"/>
  <c r="N634" i="1"/>
  <c r="E754" i="1"/>
  <c r="P807" i="1"/>
  <c r="L807" i="1"/>
  <c r="F839" i="1"/>
  <c r="P636" i="1"/>
  <c r="R589" i="1"/>
  <c r="N614" i="1"/>
  <c r="I666" i="1"/>
  <c r="M754" i="1"/>
  <c r="L761" i="1"/>
  <c r="D766" i="1"/>
  <c r="N766" i="1"/>
  <c r="D784" i="1"/>
  <c r="N784" i="1"/>
  <c r="D829" i="1"/>
  <c r="I829" i="1"/>
  <c r="D831" i="1"/>
  <c r="I869" i="1"/>
  <c r="I444" i="1"/>
  <c r="G451" i="1"/>
  <c r="D467" i="1"/>
  <c r="L465" i="1"/>
  <c r="H480" i="1"/>
  <c r="M480" i="1"/>
  <c r="I546" i="1"/>
  <c r="N550" i="1"/>
  <c r="D554" i="1"/>
  <c r="N577" i="1"/>
  <c r="D581" i="1"/>
  <c r="I581" i="1"/>
  <c r="I647" i="1"/>
  <c r="D649" i="1"/>
  <c r="D651" i="1"/>
  <c r="K754" i="1"/>
  <c r="N758" i="1"/>
  <c r="N777" i="1"/>
  <c r="G807" i="1"/>
  <c r="G813" i="1"/>
  <c r="N823" i="1"/>
  <c r="R839" i="1"/>
  <c r="D854" i="1"/>
  <c r="I854" i="1"/>
  <c r="N865" i="1"/>
  <c r="N867" i="1"/>
  <c r="N874" i="1"/>
  <c r="H664" i="1"/>
  <c r="D447" i="1"/>
  <c r="L438" i="1"/>
  <c r="L451" i="1"/>
  <c r="F451" i="1"/>
  <c r="K451" i="1"/>
  <c r="N461" i="1"/>
  <c r="N469" i="1"/>
  <c r="D473" i="1"/>
  <c r="K465" i="1"/>
  <c r="Q480" i="1"/>
  <c r="I485" i="1"/>
  <c r="K480" i="1"/>
  <c r="G501" i="1"/>
  <c r="L533" i="1"/>
  <c r="N581" i="1"/>
  <c r="Q589" i="1"/>
  <c r="O664" i="1"/>
  <c r="R754" i="1"/>
  <c r="I440" i="1"/>
  <c r="O438" i="1"/>
  <c r="N477" i="1"/>
  <c r="D491" i="1"/>
  <c r="I503" i="1"/>
  <c r="L501" i="1"/>
  <c r="I538" i="1"/>
  <c r="N538" i="1"/>
  <c r="D542" i="1"/>
  <c r="I544" i="1"/>
  <c r="N544" i="1"/>
  <c r="I554" i="1"/>
  <c r="D556" i="1"/>
  <c r="D575" i="1"/>
  <c r="F589" i="1"/>
  <c r="D643" i="1"/>
  <c r="N643" i="1"/>
  <c r="G664" i="1"/>
  <c r="N687" i="1"/>
  <c r="Q754" i="1"/>
  <c r="E813" i="1"/>
  <c r="R813" i="1"/>
  <c r="D823" i="1"/>
  <c r="D837" i="1"/>
  <c r="I837" i="1"/>
  <c r="D846" i="1"/>
  <c r="I846" i="1"/>
  <c r="D851" i="1"/>
  <c r="D863" i="1"/>
  <c r="D865" i="1"/>
  <c r="D628" i="1"/>
  <c r="D632" i="1"/>
  <c r="E630" i="1"/>
  <c r="I566" i="1"/>
  <c r="J564" i="1"/>
  <c r="G438" i="1"/>
  <c r="R438" i="1"/>
  <c r="Q465" i="1"/>
  <c r="F501" i="1"/>
  <c r="K501" i="1"/>
  <c r="M533" i="1"/>
  <c r="N540" i="1"/>
  <c r="K564" i="1"/>
  <c r="K630" i="1"/>
  <c r="P754" i="1"/>
  <c r="N756" i="1"/>
  <c r="O761" i="1"/>
  <c r="I809" i="1"/>
  <c r="J807" i="1"/>
  <c r="N854" i="1"/>
  <c r="M501" i="1"/>
  <c r="H589" i="1"/>
  <c r="R664" i="1"/>
  <c r="D695" i="1"/>
  <c r="L754" i="1"/>
  <c r="J761" i="1"/>
  <c r="D800" i="1"/>
  <c r="K807" i="1"/>
  <c r="N851" i="1"/>
  <c r="N861" i="1"/>
  <c r="N863" i="1"/>
  <c r="Q859" i="1"/>
  <c r="K438" i="1"/>
  <c r="I449" i="1"/>
  <c r="N488" i="1"/>
  <c r="Q501" i="1"/>
  <c r="D538" i="1"/>
  <c r="D548" i="1"/>
  <c r="F564" i="1"/>
  <c r="F630" i="1"/>
  <c r="N632" i="1"/>
  <c r="Q438" i="1"/>
  <c r="D444" i="1"/>
  <c r="I447" i="1"/>
  <c r="D449" i="1"/>
  <c r="Q451" i="1"/>
  <c r="D457" i="1"/>
  <c r="G465" i="1"/>
  <c r="H465" i="1"/>
  <c r="I469" i="1"/>
  <c r="R465" i="1"/>
  <c r="I482" i="1"/>
  <c r="J480" i="1"/>
  <c r="N482" i="1"/>
  <c r="F480" i="1"/>
  <c r="D522" i="1"/>
  <c r="D525" i="1"/>
  <c r="N527" i="1"/>
  <c r="I531" i="1"/>
  <c r="I550" i="1"/>
  <c r="N554" i="1"/>
  <c r="D558" i="1"/>
  <c r="P564" i="1"/>
  <c r="J589" i="1"/>
  <c r="D440" i="1"/>
  <c r="M438" i="1"/>
  <c r="D442" i="1"/>
  <c r="I442" i="1"/>
  <c r="N442" i="1"/>
  <c r="N444" i="1"/>
  <c r="N447" i="1"/>
  <c r="J451" i="1"/>
  <c r="D453" i="1"/>
  <c r="M451" i="1"/>
  <c r="D455" i="1"/>
  <c r="N455" i="1"/>
  <c r="N457" i="1"/>
  <c r="D461" i="1"/>
  <c r="E465" i="1"/>
  <c r="I467" i="1"/>
  <c r="O465" i="1"/>
  <c r="F465" i="1"/>
  <c r="D475" i="1"/>
  <c r="I475" i="1"/>
  <c r="D477" i="1"/>
  <c r="I495" i="1"/>
  <c r="D499" i="1"/>
  <c r="E497" i="1"/>
  <c r="D497" i="1" s="1"/>
  <c r="N499" i="1"/>
  <c r="N520" i="1"/>
  <c r="I522" i="1"/>
  <c r="J529" i="1"/>
  <c r="D535" i="1"/>
  <c r="D540" i="1"/>
  <c r="N542" i="1"/>
  <c r="D546" i="1"/>
  <c r="N548" i="1"/>
  <c r="D552" i="1"/>
  <c r="I568" i="1"/>
  <c r="D591" i="1"/>
  <c r="K589" i="1"/>
  <c r="N612" i="1"/>
  <c r="D619" i="1"/>
  <c r="N619" i="1"/>
  <c r="K664" i="1"/>
  <c r="P664" i="1"/>
  <c r="I742" i="1"/>
  <c r="D758" i="1"/>
  <c r="F761" i="1"/>
  <c r="D763" i="1"/>
  <c r="M761" i="1"/>
  <c r="D770" i="1"/>
  <c r="N770" i="1"/>
  <c r="D777" i="1"/>
  <c r="I804" i="1"/>
  <c r="H813" i="1"/>
  <c r="M813" i="1"/>
  <c r="I823" i="1"/>
  <c r="I831" i="1"/>
  <c r="Q839" i="1"/>
  <c r="P859" i="1"/>
  <c r="D867" i="1"/>
  <c r="D869" i="1"/>
  <c r="N556" i="1"/>
  <c r="D560" i="1"/>
  <c r="H564" i="1"/>
  <c r="D577" i="1"/>
  <c r="I577" i="1"/>
  <c r="R564" i="1"/>
  <c r="N584" i="1"/>
  <c r="G589" i="1"/>
  <c r="P589" i="1"/>
  <c r="I622" i="1"/>
  <c r="Q664" i="1"/>
  <c r="I687" i="1"/>
  <c r="N713" i="1"/>
  <c r="D742" i="1"/>
  <c r="H761" i="1"/>
  <c r="R761" i="1"/>
  <c r="I766" i="1"/>
  <c r="G761" i="1"/>
  <c r="I774" i="1"/>
  <c r="D780" i="1"/>
  <c r="D804" i="1"/>
  <c r="Q807" i="1"/>
  <c r="N829" i="1"/>
  <c r="N837" i="1"/>
  <c r="L839" i="1"/>
  <c r="N857" i="1"/>
  <c r="H859" i="1"/>
  <c r="G859" i="1"/>
  <c r="I874" i="1"/>
  <c r="I455" i="1"/>
  <c r="N467" i="1"/>
  <c r="I473" i="1"/>
  <c r="I477" i="1"/>
  <c r="D482" i="1"/>
  <c r="P480" i="1"/>
  <c r="D488" i="1"/>
  <c r="N491" i="1"/>
  <c r="D520" i="1"/>
  <c r="R501" i="1"/>
  <c r="R533" i="1"/>
  <c r="D544" i="1"/>
  <c r="N546" i="1"/>
  <c r="D550" i="1"/>
  <c r="I552" i="1"/>
  <c r="N552" i="1"/>
  <c r="M564" i="1"/>
  <c r="D584" i="1"/>
  <c r="N586" i="1"/>
  <c r="M589" i="1"/>
  <c r="I619" i="1"/>
  <c r="R636" i="1"/>
  <c r="M664" i="1"/>
  <c r="N668" i="1"/>
  <c r="D687" i="1"/>
  <c r="D720" i="1"/>
  <c r="N720" i="1"/>
  <c r="N742" i="1"/>
  <c r="I758" i="1"/>
  <c r="I777" i="1"/>
  <c r="N804" i="1"/>
  <c r="N811" i="1"/>
  <c r="L813" i="1"/>
  <c r="H839" i="1"/>
  <c r="I857" i="1"/>
  <c r="I865" i="1"/>
  <c r="D874" i="1"/>
  <c r="D459" i="1"/>
  <c r="N495" i="1"/>
  <c r="O493" i="1"/>
  <c r="N535" i="1"/>
  <c r="I560" i="1"/>
  <c r="J558" i="1"/>
  <c r="N560" i="1"/>
  <c r="D566" i="1"/>
  <c r="G564" i="1"/>
  <c r="K636" i="1"/>
  <c r="I638" i="1"/>
  <c r="I643" i="1"/>
  <c r="I770" i="1"/>
  <c r="K761" i="1"/>
  <c r="E438" i="1"/>
  <c r="N440" i="1"/>
  <c r="E451" i="1"/>
  <c r="N453" i="1"/>
  <c r="P459" i="1"/>
  <c r="I461" i="1"/>
  <c r="P465" i="1"/>
  <c r="D493" i="1"/>
  <c r="D495" i="1"/>
  <c r="D503" i="1"/>
  <c r="E501" i="1"/>
  <c r="I527" i="1"/>
  <c r="E533" i="1"/>
  <c r="K533" i="1"/>
  <c r="O533" i="1"/>
  <c r="I548" i="1"/>
  <c r="D568" i="1"/>
  <c r="E564" i="1"/>
  <c r="N575" i="1"/>
  <c r="I586" i="1"/>
  <c r="I612" i="1"/>
  <c r="I841" i="1"/>
  <c r="K839" i="1"/>
  <c r="Q564" i="1"/>
  <c r="N568" i="1"/>
  <c r="F438" i="1"/>
  <c r="J438" i="1"/>
  <c r="D469" i="1"/>
  <c r="L480" i="1"/>
  <c r="I499" i="1"/>
  <c r="J497" i="1"/>
  <c r="I520" i="1"/>
  <c r="J501" i="1"/>
  <c r="N531" i="1"/>
  <c r="O529" i="1"/>
  <c r="G533" i="1"/>
  <c r="N566" i="1"/>
  <c r="O564" i="1"/>
  <c r="D586" i="1"/>
  <c r="L589" i="1"/>
  <c r="D616" i="1"/>
  <c r="E589" i="1"/>
  <c r="D756" i="1"/>
  <c r="F754" i="1"/>
  <c r="I815" i="1"/>
  <c r="J813" i="1"/>
  <c r="I535" i="1"/>
  <c r="J533" i="1"/>
  <c r="J465" i="1"/>
  <c r="D485" i="1"/>
  <c r="I491" i="1"/>
  <c r="N503" i="1"/>
  <c r="N522" i="1"/>
  <c r="D529" i="1"/>
  <c r="D531" i="1"/>
  <c r="Q533" i="1"/>
  <c r="I540" i="1"/>
  <c r="I556" i="1"/>
  <c r="L564" i="1"/>
  <c r="I575" i="1"/>
  <c r="I591" i="1"/>
  <c r="N591" i="1"/>
  <c r="O589" i="1"/>
  <c r="I614" i="1"/>
  <c r="I628" i="1"/>
  <c r="D647" i="1"/>
  <c r="E645" i="1"/>
  <c r="D645" i="1" s="1"/>
  <c r="I679" i="1"/>
  <c r="J664" i="1"/>
  <c r="N616" i="1"/>
  <c r="I632" i="1"/>
  <c r="O645" i="1"/>
  <c r="N647" i="1"/>
  <c r="N651" i="1"/>
  <c r="P649" i="1"/>
  <c r="D679" i="1"/>
  <c r="F664" i="1"/>
  <c r="I713" i="1"/>
  <c r="D809" i="1"/>
  <c r="E807" i="1"/>
  <c r="D811" i="1"/>
  <c r="D815" i="1"/>
  <c r="F813" i="1"/>
  <c r="D820" i="1"/>
  <c r="N820" i="1"/>
  <c r="O813" i="1"/>
  <c r="G839" i="1"/>
  <c r="N846" i="1"/>
  <c r="P839" i="1"/>
  <c r="I861" i="1"/>
  <c r="J859" i="1"/>
  <c r="R859" i="1"/>
  <c r="D614" i="1"/>
  <c r="N628" i="1"/>
  <c r="I634" i="1"/>
  <c r="D638" i="1"/>
  <c r="E636" i="1"/>
  <c r="D636" i="1" s="1"/>
  <c r="D657" i="1"/>
  <c r="N659" i="1"/>
  <c r="O657" i="1"/>
  <c r="D666" i="1"/>
  <c r="E664" i="1"/>
  <c r="D668" i="1"/>
  <c r="H754" i="1"/>
  <c r="Q761" i="1"/>
  <c r="N780" i="1"/>
  <c r="N800" i="1"/>
  <c r="O807" i="1"/>
  <c r="P813" i="1"/>
  <c r="I820" i="1"/>
  <c r="K813" i="1"/>
  <c r="M839" i="1"/>
  <c r="D857" i="1"/>
  <c r="D861" i="1"/>
  <c r="F859" i="1"/>
  <c r="I863" i="1"/>
  <c r="D871" i="1"/>
  <c r="N871" i="1"/>
  <c r="O859" i="1"/>
  <c r="D622" i="1"/>
  <c r="L630" i="1"/>
  <c r="P630" i="1"/>
  <c r="O636" i="1"/>
  <c r="N638" i="1"/>
  <c r="I659" i="1"/>
  <c r="K657" i="1"/>
  <c r="I756" i="1"/>
  <c r="J754" i="1"/>
  <c r="N763" i="1"/>
  <c r="P761" i="1"/>
  <c r="D768" i="1"/>
  <c r="E761" i="1"/>
  <c r="E839" i="1"/>
  <c r="N841" i="1"/>
  <c r="O839" i="1"/>
  <c r="L859" i="1"/>
  <c r="N869" i="1"/>
  <c r="I871" i="1"/>
  <c r="K859" i="1"/>
  <c r="I651" i="1"/>
  <c r="D659" i="1"/>
  <c r="N666" i="1"/>
  <c r="I763" i="1"/>
  <c r="N809" i="1"/>
  <c r="D841" i="1"/>
  <c r="I493" i="1" l="1"/>
  <c r="I525" i="1"/>
  <c r="S659" i="1"/>
  <c r="S527" i="1"/>
  <c r="S477" i="1"/>
  <c r="S475" i="1"/>
  <c r="T589" i="1"/>
  <c r="V501" i="1"/>
  <c r="U480" i="1"/>
  <c r="V664" i="1"/>
  <c r="V657" i="1"/>
  <c r="T493" i="1"/>
  <c r="V630" i="1"/>
  <c r="T664" i="1"/>
  <c r="S540" i="1"/>
  <c r="S491" i="1"/>
  <c r="S535" i="1"/>
  <c r="T438" i="1"/>
  <c r="S770" i="1"/>
  <c r="S560" i="1"/>
  <c r="S857" i="1"/>
  <c r="S473" i="1"/>
  <c r="S687" i="1"/>
  <c r="S831" i="1"/>
  <c r="T807" i="1"/>
  <c r="S440" i="1"/>
  <c r="S485" i="1"/>
  <c r="V451" i="1"/>
  <c r="I649" i="1"/>
  <c r="V465" i="1"/>
  <c r="S695" i="1"/>
  <c r="V645" i="1"/>
  <c r="U459" i="1"/>
  <c r="U525" i="1"/>
  <c r="V558" i="1"/>
  <c r="T525" i="1"/>
  <c r="S868" i="1"/>
  <c r="V497" i="1"/>
  <c r="V589" i="1"/>
  <c r="S548" i="1"/>
  <c r="U761" i="1"/>
  <c r="V839" i="1"/>
  <c r="S442" i="1"/>
  <c r="S447" i="1"/>
  <c r="U807" i="1"/>
  <c r="S544" i="1"/>
  <c r="U754" i="1"/>
  <c r="S768" i="1"/>
  <c r="T645" i="1"/>
  <c r="V459" i="1"/>
  <c r="V859" i="1"/>
  <c r="T754" i="1"/>
  <c r="I645" i="1"/>
  <c r="U859" i="1"/>
  <c r="S756" i="1"/>
  <c r="S863" i="1"/>
  <c r="S679" i="1"/>
  <c r="S614" i="1"/>
  <c r="S575" i="1"/>
  <c r="S499" i="1"/>
  <c r="U533" i="1"/>
  <c r="S461" i="1"/>
  <c r="S643" i="1"/>
  <c r="I459" i="1"/>
  <c r="S777" i="1"/>
  <c r="S774" i="1"/>
  <c r="S823" i="1"/>
  <c r="S469" i="1"/>
  <c r="S449" i="1"/>
  <c r="U501" i="1"/>
  <c r="V533" i="1"/>
  <c r="V438" i="1"/>
  <c r="T839" i="1"/>
  <c r="V525" i="1"/>
  <c r="V529" i="1"/>
  <c r="T649" i="1"/>
  <c r="V493" i="1"/>
  <c r="S820" i="1"/>
  <c r="S861" i="1"/>
  <c r="S713" i="1"/>
  <c r="S556" i="1"/>
  <c r="T533" i="1"/>
  <c r="S520" i="1"/>
  <c r="S586" i="1"/>
  <c r="U636" i="1"/>
  <c r="S865" i="1"/>
  <c r="S874" i="1"/>
  <c r="S766" i="1"/>
  <c r="S577" i="1"/>
  <c r="S467" i="1"/>
  <c r="T451" i="1"/>
  <c r="S550" i="1"/>
  <c r="S482" i="1"/>
  <c r="U813" i="1"/>
  <c r="S634" i="1"/>
  <c r="T859" i="1"/>
  <c r="S632" i="1"/>
  <c r="T465" i="1"/>
  <c r="S815" i="1"/>
  <c r="T501" i="1"/>
  <c r="V480" i="1"/>
  <c r="S612" i="1"/>
  <c r="V813" i="1"/>
  <c r="S758" i="1"/>
  <c r="S622" i="1"/>
  <c r="U664" i="1"/>
  <c r="U589" i="1"/>
  <c r="T480" i="1"/>
  <c r="U438" i="1"/>
  <c r="V754" i="1"/>
  <c r="U564" i="1"/>
  <c r="S538" i="1"/>
  <c r="U451" i="1"/>
  <c r="S666" i="1"/>
  <c r="U645" i="1"/>
  <c r="T657" i="1"/>
  <c r="V636" i="1"/>
  <c r="U493" i="1"/>
  <c r="S763" i="1"/>
  <c r="T813" i="1"/>
  <c r="S841" i="1"/>
  <c r="S495" i="1"/>
  <c r="T761" i="1"/>
  <c r="S809" i="1"/>
  <c r="U630" i="1"/>
  <c r="S554" i="1"/>
  <c r="S546" i="1"/>
  <c r="T630" i="1"/>
  <c r="S616" i="1"/>
  <c r="S784" i="1"/>
  <c r="M859" i="1"/>
  <c r="U497" i="1"/>
  <c r="S651" i="1"/>
  <c r="S871" i="1"/>
  <c r="I657" i="1"/>
  <c r="U657" i="1"/>
  <c r="V564" i="1"/>
  <c r="S638" i="1"/>
  <c r="S619" i="1"/>
  <c r="S455" i="1"/>
  <c r="T564" i="1"/>
  <c r="S846" i="1"/>
  <c r="U465" i="1"/>
  <c r="S829" i="1"/>
  <c r="S584" i="1"/>
  <c r="S811" i="1"/>
  <c r="S488" i="1"/>
  <c r="V649" i="1"/>
  <c r="T636" i="1"/>
  <c r="S1001" i="1"/>
  <c r="U558" i="1"/>
  <c r="I558" i="1"/>
  <c r="T558" i="1"/>
  <c r="I529" i="1"/>
  <c r="T529" i="1"/>
  <c r="S566" i="1"/>
  <c r="S854" i="1"/>
  <c r="S647" i="1"/>
  <c r="S444" i="1"/>
  <c r="V807" i="1"/>
  <c r="S457" i="1"/>
  <c r="S720" i="1"/>
  <c r="S453" i="1"/>
  <c r="S780" i="1"/>
  <c r="S668" i="1"/>
  <c r="U529" i="1"/>
  <c r="S628" i="1"/>
  <c r="S591" i="1"/>
  <c r="I497" i="1"/>
  <c r="T497" i="1"/>
  <c r="U839" i="1"/>
  <c r="S552" i="1"/>
  <c r="S804" i="1"/>
  <c r="S742" i="1"/>
  <c r="S568" i="1"/>
  <c r="S522" i="1"/>
  <c r="S531" i="1"/>
  <c r="S837" i="1"/>
  <c r="S503" i="1"/>
  <c r="S581" i="1"/>
  <c r="S869" i="1"/>
  <c r="V761" i="1"/>
  <c r="S851" i="1"/>
  <c r="S542" i="1"/>
  <c r="S800" i="1"/>
  <c r="U649" i="1"/>
  <c r="T459" i="1"/>
  <c r="G463" i="1"/>
  <c r="G435" i="1" s="1"/>
  <c r="N558" i="1"/>
  <c r="N497" i="1"/>
  <c r="L463" i="1"/>
  <c r="E463" i="1"/>
  <c r="E435" i="1" s="1"/>
  <c r="I867" i="1"/>
  <c r="I630" i="1"/>
  <c r="I754" i="1"/>
  <c r="N525" i="1"/>
  <c r="S525" i="1" s="1"/>
  <c r="D807" i="1"/>
  <c r="D501" i="1"/>
  <c r="D480" i="1"/>
  <c r="R463" i="1"/>
  <c r="R435" i="1" s="1"/>
  <c r="N657" i="1"/>
  <c r="N645" i="1"/>
  <c r="N493" i="1"/>
  <c r="S493" i="1" s="1"/>
  <c r="N630" i="1"/>
  <c r="N649" i="1"/>
  <c r="N529" i="1"/>
  <c r="I501" i="1"/>
  <c r="N451" i="1"/>
  <c r="M463" i="1"/>
  <c r="D761" i="1"/>
  <c r="I761" i="1"/>
  <c r="D630" i="1"/>
  <c r="O463" i="1"/>
  <c r="P463" i="1"/>
  <c r="D533" i="1"/>
  <c r="Q463" i="1"/>
  <c r="N664" i="1"/>
  <c r="K463" i="1"/>
  <c r="N589" i="1"/>
  <c r="I589" i="1"/>
  <c r="N807" i="1"/>
  <c r="N501" i="1"/>
  <c r="N480" i="1"/>
  <c r="I807" i="1"/>
  <c r="N754" i="1"/>
  <c r="N438" i="1"/>
  <c r="I533" i="1"/>
  <c r="N636" i="1"/>
  <c r="N859" i="1"/>
  <c r="D839" i="1"/>
  <c r="D859" i="1"/>
  <c r="F463" i="1"/>
  <c r="D813" i="1"/>
  <c r="I664" i="1"/>
  <c r="D451" i="1"/>
  <c r="H463" i="1"/>
  <c r="H435" i="1" s="1"/>
  <c r="D465" i="1"/>
  <c r="N761" i="1"/>
  <c r="D589" i="1"/>
  <c r="D564" i="1"/>
  <c r="N564" i="1"/>
  <c r="I480" i="1"/>
  <c r="D754" i="1"/>
  <c r="N459" i="1"/>
  <c r="N813" i="1"/>
  <c r="I451" i="1"/>
  <c r="I564" i="1"/>
  <c r="J463" i="1"/>
  <c r="I465" i="1"/>
  <c r="I839" i="1"/>
  <c r="N839" i="1"/>
  <c r="D664" i="1"/>
  <c r="I813" i="1"/>
  <c r="I438" i="1"/>
  <c r="N533" i="1"/>
  <c r="D438" i="1"/>
  <c r="I636" i="1"/>
  <c r="N465" i="1"/>
  <c r="M435" i="1" l="1"/>
  <c r="S645" i="1"/>
  <c r="I859" i="1"/>
  <c r="S459" i="1"/>
  <c r="S649" i="1"/>
  <c r="S465" i="1"/>
  <c r="S859" i="1"/>
  <c r="S761" i="1"/>
  <c r="S754" i="1"/>
  <c r="S664" i="1"/>
  <c r="S636" i="1"/>
  <c r="S813" i="1"/>
  <c r="S839" i="1"/>
  <c r="S451" i="1"/>
  <c r="S480" i="1"/>
  <c r="S807" i="1"/>
  <c r="S867" i="1"/>
  <c r="S533" i="1"/>
  <c r="S589" i="1"/>
  <c r="S558" i="1"/>
  <c r="L435" i="1"/>
  <c r="V463" i="1"/>
  <c r="J435" i="1"/>
  <c r="T463" i="1"/>
  <c r="S501" i="1"/>
  <c r="S438" i="1"/>
  <c r="S564" i="1"/>
  <c r="K435" i="1"/>
  <c r="U463" i="1"/>
  <c r="S630" i="1"/>
  <c r="S497" i="1"/>
  <c r="S529" i="1"/>
  <c r="S657" i="1"/>
  <c r="Q435" i="1"/>
  <c r="O435" i="1"/>
  <c r="P435" i="1"/>
  <c r="I463" i="1"/>
  <c r="N463" i="1"/>
  <c r="D463" i="1"/>
  <c r="D435" i="1" s="1"/>
  <c r="F435" i="1"/>
  <c r="U435" i="1" l="1"/>
  <c r="T435" i="1"/>
  <c r="I435" i="1"/>
  <c r="S463" i="1"/>
  <c r="V435" i="1"/>
  <c r="N435" i="1"/>
  <c r="D332" i="1"/>
  <c r="I332" i="1"/>
  <c r="N332" i="1"/>
  <c r="K341" i="1"/>
  <c r="L341" i="1"/>
  <c r="M341" i="1"/>
  <c r="O341" i="1"/>
  <c r="P341" i="1"/>
  <c r="Q341" i="1"/>
  <c r="R341" i="1"/>
  <c r="Q336" i="1"/>
  <c r="L336" i="1"/>
  <c r="J337" i="1"/>
  <c r="J333" i="1"/>
  <c r="K334" i="1"/>
  <c r="L334" i="1"/>
  <c r="M334" i="1"/>
  <c r="O334" i="1"/>
  <c r="P334" i="1"/>
  <c r="Q334" i="1"/>
  <c r="R334" i="1"/>
  <c r="J334" i="1"/>
  <c r="N331" i="1"/>
  <c r="I331" i="1"/>
  <c r="D331" i="1"/>
  <c r="D328" i="1"/>
  <c r="I328" i="1"/>
  <c r="N328" i="1"/>
  <c r="D327" i="1"/>
  <c r="I327" i="1"/>
  <c r="N327" i="1"/>
  <c r="I326" i="1"/>
  <c r="D326" i="1"/>
  <c r="N326" i="1"/>
  <c r="K298" i="1"/>
  <c r="L298" i="1"/>
  <c r="M298" i="1"/>
  <c r="J298" i="1"/>
  <c r="P160" i="1"/>
  <c r="R160" i="1"/>
  <c r="O160" i="1"/>
  <c r="P156" i="1"/>
  <c r="Q156" i="1"/>
  <c r="R156" i="1"/>
  <c r="O156" i="1"/>
  <c r="P153" i="1"/>
  <c r="Q153" i="1"/>
  <c r="R153" i="1"/>
  <c r="O153" i="1"/>
  <c r="K153" i="1"/>
  <c r="R150" i="1"/>
  <c r="Q150" i="1"/>
  <c r="P150" i="1"/>
  <c r="O150" i="1"/>
  <c r="R142" i="1"/>
  <c r="Q142" i="1"/>
  <c r="P142" i="1"/>
  <c r="O142" i="1"/>
  <c r="L142" i="1"/>
  <c r="R136" i="1"/>
  <c r="Q136" i="1"/>
  <c r="P136" i="1"/>
  <c r="O136" i="1"/>
  <c r="J136" i="1"/>
  <c r="R127" i="1"/>
  <c r="Q127" i="1"/>
  <c r="P127" i="1"/>
  <c r="O127" i="1"/>
  <c r="R122" i="1"/>
  <c r="Q122" i="1"/>
  <c r="P122" i="1"/>
  <c r="O122" i="1"/>
  <c r="J122" i="1"/>
  <c r="R114" i="1"/>
  <c r="Q114" i="1"/>
  <c r="P114" i="1"/>
  <c r="O114" i="1"/>
  <c r="J114" i="1"/>
  <c r="R90" i="1"/>
  <c r="Q90" i="1"/>
  <c r="P90" i="1"/>
  <c r="O90" i="1"/>
  <c r="K90" i="1"/>
  <c r="J90" i="1"/>
  <c r="N91" i="1"/>
  <c r="N92" i="1"/>
  <c r="N93" i="1"/>
  <c r="N94" i="1"/>
  <c r="N95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5" i="1"/>
  <c r="N116" i="1"/>
  <c r="N117" i="1"/>
  <c r="N118" i="1"/>
  <c r="N119" i="1"/>
  <c r="N120" i="1"/>
  <c r="N121" i="1"/>
  <c r="N123" i="1"/>
  <c r="N124" i="1"/>
  <c r="N125" i="1"/>
  <c r="N126" i="1"/>
  <c r="N128" i="1"/>
  <c r="N129" i="1"/>
  <c r="N131" i="1"/>
  <c r="N133" i="1"/>
  <c r="N135" i="1"/>
  <c r="N137" i="1"/>
  <c r="N138" i="1"/>
  <c r="N139" i="1"/>
  <c r="N140" i="1"/>
  <c r="N141" i="1"/>
  <c r="N143" i="1"/>
  <c r="N144" i="1"/>
  <c r="N145" i="1"/>
  <c r="N146" i="1"/>
  <c r="N147" i="1"/>
  <c r="N149" i="1"/>
  <c r="N151" i="1"/>
  <c r="N152" i="1"/>
  <c r="N154" i="1"/>
  <c r="N155" i="1"/>
  <c r="N157" i="1"/>
  <c r="N158" i="1"/>
  <c r="N159" i="1"/>
  <c r="N161" i="1"/>
  <c r="N162" i="1"/>
  <c r="N163" i="1"/>
  <c r="N164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S326" i="1" l="1"/>
  <c r="V336" i="1"/>
  <c r="U334" i="1"/>
  <c r="U90" i="1"/>
  <c r="T136" i="1"/>
  <c r="S331" i="1"/>
  <c r="U341" i="1"/>
  <c r="T114" i="1"/>
  <c r="U153" i="1"/>
  <c r="T298" i="1"/>
  <c r="T334" i="1"/>
  <c r="V334" i="1"/>
  <c r="T90" i="1"/>
  <c r="T122" i="1"/>
  <c r="T337" i="1"/>
  <c r="V341" i="1"/>
  <c r="V142" i="1"/>
  <c r="S328" i="1"/>
  <c r="S327" i="1"/>
  <c r="S332" i="1"/>
  <c r="S435" i="1"/>
  <c r="I341" i="1"/>
  <c r="N136" i="1"/>
  <c r="N334" i="1"/>
  <c r="N127" i="1"/>
  <c r="N90" i="1"/>
  <c r="N122" i="1"/>
  <c r="N153" i="1"/>
  <c r="N114" i="1"/>
  <c r="N150" i="1"/>
  <c r="I334" i="1"/>
  <c r="N341" i="1"/>
  <c r="N142" i="1"/>
  <c r="I298" i="1"/>
  <c r="N156" i="1"/>
  <c r="S334" i="1" l="1"/>
  <c r="S341" i="1"/>
  <c r="I277" i="1"/>
  <c r="I278" i="1"/>
  <c r="L275" i="1"/>
  <c r="M275" i="1"/>
  <c r="J275" i="1"/>
  <c r="K275" i="1"/>
  <c r="J130" i="1"/>
  <c r="K160" i="1"/>
  <c r="M160" i="1"/>
  <c r="I159" i="1"/>
  <c r="J153" i="1"/>
  <c r="J150" i="1"/>
  <c r="I147" i="1"/>
  <c r="J142" i="1"/>
  <c r="K136" i="1"/>
  <c r="I133" i="1"/>
  <c r="J127" i="1"/>
  <c r="I115" i="1"/>
  <c r="I97" i="1"/>
  <c r="K96" i="1"/>
  <c r="L96" i="1"/>
  <c r="M96" i="1"/>
  <c r="S115" i="1" l="1"/>
  <c r="T160" i="1"/>
  <c r="T127" i="1"/>
  <c r="T142" i="1"/>
  <c r="S133" i="1"/>
  <c r="T150" i="1"/>
  <c r="S159" i="1"/>
  <c r="S147" i="1"/>
  <c r="U160" i="1"/>
  <c r="S97" i="1"/>
  <c r="U136" i="1"/>
  <c r="T153" i="1"/>
  <c r="T130" i="1"/>
  <c r="J274" i="1"/>
  <c r="T275" i="1"/>
  <c r="I96" i="1"/>
  <c r="T274" i="1" l="1"/>
  <c r="J271" i="1"/>
  <c r="I200" i="1"/>
  <c r="I201" i="1"/>
  <c r="I199" i="1"/>
  <c r="I186" i="1"/>
  <c r="I187" i="1"/>
  <c r="I188" i="1"/>
  <c r="I189" i="1"/>
  <c r="I184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70" i="1"/>
  <c r="I166" i="1"/>
  <c r="I167" i="1"/>
  <c r="I168" i="1"/>
  <c r="I169" i="1"/>
  <c r="I161" i="1"/>
  <c r="I162" i="1"/>
  <c r="S162" i="1" l="1"/>
  <c r="S177" i="1"/>
  <c r="S189" i="1"/>
  <c r="S180" i="1"/>
  <c r="S172" i="1"/>
  <c r="S188" i="1"/>
  <c r="S201" i="1"/>
  <c r="S181" i="1"/>
  <c r="S199" i="1"/>
  <c r="S161" i="1"/>
  <c r="S176" i="1"/>
  <c r="S169" i="1"/>
  <c r="S170" i="1"/>
  <c r="S179" i="1"/>
  <c r="S175" i="1"/>
  <c r="S171" i="1"/>
  <c r="S187" i="1"/>
  <c r="S200" i="1"/>
  <c r="S167" i="1"/>
  <c r="S173" i="1"/>
  <c r="S166" i="1"/>
  <c r="S157" i="1"/>
  <c r="S168" i="1"/>
  <c r="S182" i="1"/>
  <c r="S178" i="1"/>
  <c r="S174" i="1"/>
  <c r="S184" i="1"/>
  <c r="S186" i="1"/>
  <c r="J156" i="1"/>
  <c r="L153" i="1"/>
  <c r="I155" i="1"/>
  <c r="I154" i="1"/>
  <c r="I151" i="1"/>
  <c r="I149" i="1"/>
  <c r="S149" i="1" l="1"/>
  <c r="T156" i="1"/>
  <c r="V153" i="1"/>
  <c r="S154" i="1"/>
  <c r="S151" i="1"/>
  <c r="S155" i="1"/>
  <c r="I144" i="1"/>
  <c r="I145" i="1"/>
  <c r="I146" i="1"/>
  <c r="I143" i="1"/>
  <c r="I140" i="1"/>
  <c r="I141" i="1"/>
  <c r="K122" i="1"/>
  <c r="I126" i="1"/>
  <c r="I121" i="1"/>
  <c r="I119" i="1"/>
  <c r="I120" i="1"/>
  <c r="I118" i="1"/>
  <c r="I117" i="1"/>
  <c r="L114" i="1"/>
  <c r="K114" i="1"/>
  <c r="M114" i="1"/>
  <c r="I105" i="1"/>
  <c r="I106" i="1"/>
  <c r="I107" i="1"/>
  <c r="I108" i="1"/>
  <c r="I109" i="1"/>
  <c r="I110" i="1"/>
  <c r="I111" i="1"/>
  <c r="I112" i="1"/>
  <c r="I113" i="1"/>
  <c r="I104" i="1"/>
  <c r="I92" i="1"/>
  <c r="I93" i="1"/>
  <c r="I94" i="1"/>
  <c r="I95" i="1"/>
  <c r="L90" i="1"/>
  <c r="F74" i="1"/>
  <c r="F61" i="1"/>
  <c r="E61" i="1"/>
  <c r="F56" i="1"/>
  <c r="Q44" i="1"/>
  <c r="L44" i="1"/>
  <c r="G44" i="1"/>
  <c r="H44" i="1"/>
  <c r="N377" i="1"/>
  <c r="I377" i="1"/>
  <c r="N376" i="1"/>
  <c r="I376" i="1"/>
  <c r="N375" i="1"/>
  <c r="I375" i="1"/>
  <c r="R373" i="1"/>
  <c r="R371" i="1" s="1"/>
  <c r="M373" i="1"/>
  <c r="N372" i="1"/>
  <c r="I372" i="1"/>
  <c r="N370" i="1"/>
  <c r="I370" i="1"/>
  <c r="N369" i="1"/>
  <c r="I369" i="1"/>
  <c r="R368" i="1"/>
  <c r="Q368" i="1"/>
  <c r="P368" i="1"/>
  <c r="O368" i="1"/>
  <c r="M368" i="1"/>
  <c r="L368" i="1"/>
  <c r="J368" i="1"/>
  <c r="N367" i="1"/>
  <c r="I367" i="1"/>
  <c r="N366" i="1"/>
  <c r="I366" i="1"/>
  <c r="N365" i="1"/>
  <c r="I365" i="1"/>
  <c r="R364" i="1"/>
  <c r="Q364" i="1"/>
  <c r="P364" i="1"/>
  <c r="O364" i="1"/>
  <c r="M364" i="1"/>
  <c r="L364" i="1"/>
  <c r="J364" i="1"/>
  <c r="N363" i="1"/>
  <c r="I363" i="1"/>
  <c r="N362" i="1"/>
  <c r="I362" i="1"/>
  <c r="N361" i="1"/>
  <c r="I361" i="1"/>
  <c r="N360" i="1"/>
  <c r="I360" i="1"/>
  <c r="N359" i="1"/>
  <c r="I359" i="1"/>
  <c r="N358" i="1"/>
  <c r="I358" i="1"/>
  <c r="N357" i="1"/>
  <c r="I357" i="1"/>
  <c r="N356" i="1"/>
  <c r="I356" i="1"/>
  <c r="N355" i="1"/>
  <c r="I355" i="1"/>
  <c r="N354" i="1"/>
  <c r="I354" i="1"/>
  <c r="N353" i="1"/>
  <c r="I353" i="1"/>
  <c r="N352" i="1"/>
  <c r="I352" i="1"/>
  <c r="N351" i="1"/>
  <c r="I351" i="1"/>
  <c r="N350" i="1"/>
  <c r="I350" i="1"/>
  <c r="N349" i="1"/>
  <c r="I349" i="1"/>
  <c r="N348" i="1"/>
  <c r="I348" i="1"/>
  <c r="R346" i="1"/>
  <c r="Q346" i="1"/>
  <c r="P346" i="1"/>
  <c r="O346" i="1"/>
  <c r="L346" i="1"/>
  <c r="K346" i="1"/>
  <c r="J346" i="1"/>
  <c r="N345" i="1"/>
  <c r="I345" i="1"/>
  <c r="N343" i="1"/>
  <c r="I343" i="1"/>
  <c r="N342" i="1"/>
  <c r="I342" i="1"/>
  <c r="D340" i="1"/>
  <c r="N339" i="1"/>
  <c r="I339" i="1"/>
  <c r="N338" i="1"/>
  <c r="I338" i="1"/>
  <c r="R337" i="1"/>
  <c r="Q337" i="1"/>
  <c r="P337" i="1"/>
  <c r="O337" i="1"/>
  <c r="M337" i="1"/>
  <c r="L337" i="1"/>
  <c r="K337" i="1"/>
  <c r="R336" i="1"/>
  <c r="P336" i="1"/>
  <c r="O336" i="1"/>
  <c r="M336" i="1"/>
  <c r="K336" i="1"/>
  <c r="J336" i="1"/>
  <c r="D336" i="1"/>
  <c r="N335" i="1"/>
  <c r="I335" i="1"/>
  <c r="R333" i="1"/>
  <c r="Q333" i="1"/>
  <c r="P333" i="1"/>
  <c r="O333" i="1"/>
  <c r="M333" i="1"/>
  <c r="L333" i="1"/>
  <c r="K333" i="1"/>
  <c r="N330" i="1"/>
  <c r="I330" i="1"/>
  <c r="D330" i="1"/>
  <c r="N329" i="1"/>
  <c r="I329" i="1"/>
  <c r="D329" i="1"/>
  <c r="N325" i="1"/>
  <c r="I325" i="1"/>
  <c r="D325" i="1"/>
  <c r="N324" i="1"/>
  <c r="I324" i="1"/>
  <c r="D324" i="1"/>
  <c r="N323" i="1"/>
  <c r="I323" i="1"/>
  <c r="D323" i="1"/>
  <c r="N322" i="1"/>
  <c r="I322" i="1"/>
  <c r="D322" i="1"/>
  <c r="N321" i="1"/>
  <c r="I321" i="1"/>
  <c r="D321" i="1"/>
  <c r="N320" i="1"/>
  <c r="I320" i="1"/>
  <c r="D320" i="1"/>
  <c r="N319" i="1"/>
  <c r="I319" i="1"/>
  <c r="D319" i="1"/>
  <c r="N318" i="1"/>
  <c r="I318" i="1"/>
  <c r="D318" i="1"/>
  <c r="N317" i="1"/>
  <c r="I317" i="1"/>
  <c r="D317" i="1"/>
  <c r="N316" i="1"/>
  <c r="I316" i="1"/>
  <c r="D316" i="1"/>
  <c r="N315" i="1"/>
  <c r="I315" i="1"/>
  <c r="D315" i="1"/>
  <c r="N314" i="1"/>
  <c r="I314" i="1"/>
  <c r="D314" i="1"/>
  <c r="N313" i="1"/>
  <c r="I313" i="1"/>
  <c r="D313" i="1"/>
  <c r="N312" i="1"/>
  <c r="I312" i="1"/>
  <c r="D312" i="1"/>
  <c r="N311" i="1"/>
  <c r="I311" i="1"/>
  <c r="D311" i="1"/>
  <c r="N310" i="1"/>
  <c r="I310" i="1"/>
  <c r="D310" i="1"/>
  <c r="N309" i="1"/>
  <c r="I309" i="1"/>
  <c r="D309" i="1"/>
  <c r="N308" i="1"/>
  <c r="I308" i="1"/>
  <c r="D308" i="1"/>
  <c r="N307" i="1"/>
  <c r="I307" i="1"/>
  <c r="D307" i="1"/>
  <c r="N306" i="1"/>
  <c r="I306" i="1"/>
  <c r="D306" i="1"/>
  <c r="N305" i="1"/>
  <c r="I305" i="1"/>
  <c r="D305" i="1"/>
  <c r="N304" i="1"/>
  <c r="I304" i="1"/>
  <c r="D304" i="1"/>
  <c r="N303" i="1"/>
  <c r="I303" i="1"/>
  <c r="D303" i="1"/>
  <c r="N302" i="1"/>
  <c r="I302" i="1"/>
  <c r="D302" i="1"/>
  <c r="N301" i="1"/>
  <c r="I301" i="1"/>
  <c r="D301" i="1"/>
  <c r="N300" i="1"/>
  <c r="I300" i="1"/>
  <c r="D300" i="1"/>
  <c r="N299" i="1"/>
  <c r="I299" i="1"/>
  <c r="D299" i="1"/>
  <c r="R298" i="1"/>
  <c r="Q298" i="1"/>
  <c r="P298" i="1"/>
  <c r="O298" i="1"/>
  <c r="H298" i="1"/>
  <c r="G298" i="1"/>
  <c r="F298" i="1"/>
  <c r="E298" i="1"/>
  <c r="N297" i="1"/>
  <c r="L297" i="1"/>
  <c r="J297" i="1"/>
  <c r="D297" i="1"/>
  <c r="N296" i="1"/>
  <c r="J296" i="1"/>
  <c r="D296" i="1"/>
  <c r="N295" i="1"/>
  <c r="J295" i="1"/>
  <c r="D295" i="1"/>
  <c r="R294" i="1"/>
  <c r="Q294" i="1"/>
  <c r="P294" i="1"/>
  <c r="O294" i="1"/>
  <c r="M294" i="1"/>
  <c r="L294" i="1"/>
  <c r="K294" i="1"/>
  <c r="H294" i="1"/>
  <c r="G294" i="1"/>
  <c r="F294" i="1"/>
  <c r="E294" i="1"/>
  <c r="N293" i="1"/>
  <c r="I293" i="1"/>
  <c r="D293" i="1"/>
  <c r="N292" i="1"/>
  <c r="I292" i="1"/>
  <c r="N291" i="1"/>
  <c r="I291" i="1"/>
  <c r="N290" i="1"/>
  <c r="I290" i="1"/>
  <c r="N289" i="1"/>
  <c r="I289" i="1"/>
  <c r="N288" i="1"/>
  <c r="N287" i="1"/>
  <c r="I287" i="1"/>
  <c r="N286" i="1"/>
  <c r="S286" i="1" s="1"/>
  <c r="N285" i="1"/>
  <c r="I285" i="1"/>
  <c r="N284" i="1"/>
  <c r="N283" i="1"/>
  <c r="N282" i="1"/>
  <c r="S282" i="1" s="1"/>
  <c r="N281" i="1"/>
  <c r="I281" i="1"/>
  <c r="N280" i="1"/>
  <c r="I280" i="1"/>
  <c r="Q279" i="1"/>
  <c r="P279" i="1"/>
  <c r="L279" i="1"/>
  <c r="K279" i="1"/>
  <c r="Q278" i="1"/>
  <c r="V278" i="1" s="1"/>
  <c r="N277" i="1"/>
  <c r="N276" i="1"/>
  <c r="I276" i="1"/>
  <c r="P275" i="1"/>
  <c r="R274" i="1"/>
  <c r="O274" i="1"/>
  <c r="M274" i="1"/>
  <c r="T271" i="1"/>
  <c r="D274" i="1"/>
  <c r="N273" i="1"/>
  <c r="I273" i="1"/>
  <c r="D273" i="1"/>
  <c r="I202" i="1"/>
  <c r="I198" i="1"/>
  <c r="I197" i="1"/>
  <c r="I196" i="1"/>
  <c r="I195" i="1"/>
  <c r="I194" i="1"/>
  <c r="I193" i="1"/>
  <c r="I192" i="1"/>
  <c r="I191" i="1"/>
  <c r="I190" i="1"/>
  <c r="I185" i="1"/>
  <c r="I183" i="1"/>
  <c r="Q165" i="1"/>
  <c r="L165" i="1"/>
  <c r="I164" i="1"/>
  <c r="I163" i="1"/>
  <c r="I158" i="1"/>
  <c r="M156" i="1"/>
  <c r="L156" i="1"/>
  <c r="K156" i="1"/>
  <c r="M153" i="1"/>
  <c r="I152" i="1"/>
  <c r="M150" i="1"/>
  <c r="L150" i="1"/>
  <c r="K150" i="1"/>
  <c r="R148" i="1"/>
  <c r="Q148" i="1"/>
  <c r="P148" i="1"/>
  <c r="O148" i="1"/>
  <c r="M148" i="1"/>
  <c r="L148" i="1"/>
  <c r="K148" i="1"/>
  <c r="J148" i="1"/>
  <c r="M142" i="1"/>
  <c r="K142" i="1"/>
  <c r="I139" i="1"/>
  <c r="I138" i="1"/>
  <c r="I137" i="1"/>
  <c r="M136" i="1"/>
  <c r="L136" i="1"/>
  <c r="I135" i="1"/>
  <c r="R134" i="1"/>
  <c r="Q134" i="1"/>
  <c r="P134" i="1"/>
  <c r="O134" i="1"/>
  <c r="M134" i="1"/>
  <c r="L134" i="1"/>
  <c r="K134" i="1"/>
  <c r="J134" i="1"/>
  <c r="R132" i="1"/>
  <c r="Q132" i="1"/>
  <c r="P132" i="1"/>
  <c r="O132" i="1"/>
  <c r="M132" i="1"/>
  <c r="L132" i="1"/>
  <c r="K132" i="1"/>
  <c r="J132" i="1"/>
  <c r="I131" i="1"/>
  <c r="R130" i="1"/>
  <c r="Q130" i="1"/>
  <c r="P130" i="1"/>
  <c r="O130" i="1"/>
  <c r="M130" i="1"/>
  <c r="L130" i="1"/>
  <c r="K130" i="1"/>
  <c r="I129" i="1"/>
  <c r="I128" i="1"/>
  <c r="M127" i="1"/>
  <c r="L127" i="1"/>
  <c r="K127" i="1"/>
  <c r="I125" i="1"/>
  <c r="I124" i="1"/>
  <c r="I123" i="1"/>
  <c r="M122" i="1"/>
  <c r="L122" i="1"/>
  <c r="I116" i="1"/>
  <c r="I103" i="1"/>
  <c r="I102" i="1"/>
  <c r="I101" i="1"/>
  <c r="I100" i="1"/>
  <c r="I99" i="1"/>
  <c r="I98" i="1"/>
  <c r="R96" i="1"/>
  <c r="Q96" i="1"/>
  <c r="P96" i="1"/>
  <c r="O96" i="1"/>
  <c r="M90" i="1"/>
  <c r="D87" i="1"/>
  <c r="H85" i="1"/>
  <c r="G85" i="1"/>
  <c r="F85" i="1"/>
  <c r="E85" i="1"/>
  <c r="N84" i="1"/>
  <c r="I84" i="1"/>
  <c r="D84" i="1"/>
  <c r="N83" i="1"/>
  <c r="K83" i="1"/>
  <c r="D83" i="1"/>
  <c r="N82" i="1"/>
  <c r="J82" i="1"/>
  <c r="D82" i="1"/>
  <c r="R81" i="1"/>
  <c r="Q81" i="1"/>
  <c r="P81" i="1"/>
  <c r="O81" i="1"/>
  <c r="M81" i="1"/>
  <c r="L81" i="1"/>
  <c r="K81" i="1"/>
  <c r="H81" i="1"/>
  <c r="G81" i="1"/>
  <c r="F81" i="1"/>
  <c r="E81" i="1"/>
  <c r="N80" i="1"/>
  <c r="K80" i="1"/>
  <c r="D80" i="1"/>
  <c r="N79" i="1"/>
  <c r="K79" i="1"/>
  <c r="D79" i="1"/>
  <c r="N78" i="1"/>
  <c r="K78" i="1"/>
  <c r="D78" i="1"/>
  <c r="N77" i="1"/>
  <c r="K77" i="1"/>
  <c r="D77" i="1"/>
  <c r="N76" i="1"/>
  <c r="K76" i="1"/>
  <c r="D76" i="1"/>
  <c r="N75" i="1"/>
  <c r="L75" i="1"/>
  <c r="D75" i="1"/>
  <c r="R74" i="1"/>
  <c r="Q74" i="1"/>
  <c r="P74" i="1"/>
  <c r="O74" i="1"/>
  <c r="M74" i="1"/>
  <c r="J74" i="1"/>
  <c r="H74" i="1"/>
  <c r="G74" i="1"/>
  <c r="E74" i="1"/>
  <c r="N73" i="1"/>
  <c r="L73" i="1"/>
  <c r="D73" i="1"/>
  <c r="L72" i="1"/>
  <c r="D72" i="1"/>
  <c r="N71" i="1"/>
  <c r="K71" i="1"/>
  <c r="D71" i="1"/>
  <c r="N70" i="1"/>
  <c r="K70" i="1"/>
  <c r="D70" i="1"/>
  <c r="N69" i="1"/>
  <c r="K69" i="1"/>
  <c r="D69" i="1"/>
  <c r="N68" i="1"/>
  <c r="K68" i="1"/>
  <c r="D68" i="1"/>
  <c r="N67" i="1"/>
  <c r="K67" i="1"/>
  <c r="D67" i="1"/>
  <c r="N66" i="1"/>
  <c r="K66" i="1"/>
  <c r="D66" i="1"/>
  <c r="N65" i="1"/>
  <c r="K65" i="1"/>
  <c r="D65" i="1"/>
  <c r="N64" i="1"/>
  <c r="K64" i="1"/>
  <c r="D64" i="1"/>
  <c r="N63" i="1"/>
  <c r="K63" i="1"/>
  <c r="D63" i="1"/>
  <c r="N62" i="1"/>
  <c r="K62" i="1"/>
  <c r="U62" i="1" s="1"/>
  <c r="D62" i="1"/>
  <c r="R61" i="1"/>
  <c r="Q61" i="1"/>
  <c r="P61" i="1"/>
  <c r="O61" i="1"/>
  <c r="M61" i="1"/>
  <c r="J61" i="1"/>
  <c r="H61" i="1"/>
  <c r="G61" i="1"/>
  <c r="N60" i="1"/>
  <c r="K60" i="1"/>
  <c r="D60" i="1"/>
  <c r="N59" i="1"/>
  <c r="K59" i="1"/>
  <c r="D59" i="1"/>
  <c r="N58" i="1"/>
  <c r="K58" i="1"/>
  <c r="D58" i="1"/>
  <c r="N57" i="1"/>
  <c r="K57" i="1"/>
  <c r="D57" i="1"/>
  <c r="R56" i="1"/>
  <c r="Q56" i="1"/>
  <c r="P56" i="1"/>
  <c r="O56" i="1"/>
  <c r="M56" i="1"/>
  <c r="L56" i="1"/>
  <c r="J56" i="1"/>
  <c r="H56" i="1"/>
  <c r="G56" i="1"/>
  <c r="E56" i="1"/>
  <c r="N55" i="1"/>
  <c r="J55" i="1"/>
  <c r="D55" i="1"/>
  <c r="N54" i="1"/>
  <c r="L54" i="1"/>
  <c r="D54" i="1"/>
  <c r="N53" i="1"/>
  <c r="J53" i="1"/>
  <c r="D53" i="1"/>
  <c r="N52" i="1"/>
  <c r="I52" i="1"/>
  <c r="D52" i="1"/>
  <c r="N51" i="1"/>
  <c r="K51" i="1"/>
  <c r="D51" i="1"/>
  <c r="N50" i="1"/>
  <c r="K50" i="1"/>
  <c r="D50" i="1"/>
  <c r="N49" i="1"/>
  <c r="K49" i="1"/>
  <c r="D49" i="1"/>
  <c r="N48" i="1"/>
  <c r="K48" i="1"/>
  <c r="D48" i="1"/>
  <c r="N47" i="1"/>
  <c r="K47" i="1"/>
  <c r="D47" i="1"/>
  <c r="N46" i="1"/>
  <c r="K46" i="1"/>
  <c r="D46" i="1"/>
  <c r="T53" i="1" l="1"/>
  <c r="V56" i="1"/>
  <c r="T61" i="1"/>
  <c r="S124" i="1"/>
  <c r="S129" i="1"/>
  <c r="S135" i="1"/>
  <c r="S139" i="1"/>
  <c r="S197" i="1"/>
  <c r="S273" i="1"/>
  <c r="U279" i="1"/>
  <c r="S285" i="1"/>
  <c r="S293" i="1"/>
  <c r="T297" i="1"/>
  <c r="S299" i="1"/>
  <c r="S303" i="1"/>
  <c r="S307" i="1"/>
  <c r="S311" i="1"/>
  <c r="S352" i="1"/>
  <c r="T364" i="1"/>
  <c r="S104" i="1"/>
  <c r="V114" i="1"/>
  <c r="S126" i="1"/>
  <c r="S143" i="1"/>
  <c r="S52" i="1"/>
  <c r="S100" i="1"/>
  <c r="U130" i="1"/>
  <c r="S190" i="1"/>
  <c r="S272" i="1"/>
  <c r="V297" i="1"/>
  <c r="T333" i="1"/>
  <c r="U336" i="1"/>
  <c r="S338" i="1"/>
  <c r="V364" i="1"/>
  <c r="S366" i="1"/>
  <c r="T368" i="1"/>
  <c r="S375" i="1"/>
  <c r="S377" i="1"/>
  <c r="V44" i="1"/>
  <c r="S94" i="1"/>
  <c r="S113" i="1"/>
  <c r="S109" i="1"/>
  <c r="S105" i="1"/>
  <c r="S117" i="1"/>
  <c r="S121" i="1"/>
  <c r="U122" i="1"/>
  <c r="S146" i="1"/>
  <c r="U96" i="1"/>
  <c r="S137" i="1"/>
  <c r="S202" i="1"/>
  <c r="S287" i="1"/>
  <c r="S315" i="1"/>
  <c r="S319" i="1"/>
  <c r="S323" i="1"/>
  <c r="S330" i="1"/>
  <c r="T336" i="1"/>
  <c r="S343" i="1"/>
  <c r="S348" i="1"/>
  <c r="S354" i="1"/>
  <c r="S95" i="1"/>
  <c r="S110" i="1"/>
  <c r="S119" i="1"/>
  <c r="V81" i="1"/>
  <c r="S98" i="1"/>
  <c r="S125" i="1"/>
  <c r="S131" i="1"/>
  <c r="V134" i="1"/>
  <c r="T148" i="1"/>
  <c r="S192" i="1"/>
  <c r="S335" i="1"/>
  <c r="U76" i="1"/>
  <c r="S123" i="1"/>
  <c r="U127" i="1"/>
  <c r="S128" i="1"/>
  <c r="V130" i="1"/>
  <c r="T132" i="1"/>
  <c r="S138" i="1"/>
  <c r="U148" i="1"/>
  <c r="U150" i="1"/>
  <c r="S163" i="1"/>
  <c r="S185" i="1"/>
  <c r="S195" i="1"/>
  <c r="S277" i="1"/>
  <c r="S281" i="1"/>
  <c r="S283" i="1"/>
  <c r="S288" i="1"/>
  <c r="U294" i="1"/>
  <c r="S301" i="1"/>
  <c r="S305" i="1"/>
  <c r="S309" i="1"/>
  <c r="S313" i="1"/>
  <c r="S317" i="1"/>
  <c r="S321" i="1"/>
  <c r="S325" i="1"/>
  <c r="U333" i="1"/>
  <c r="U337" i="1"/>
  <c r="S342" i="1"/>
  <c r="S345" i="1"/>
  <c r="S349" i="1"/>
  <c r="S351" i="1"/>
  <c r="S353" i="1"/>
  <c r="S355" i="1"/>
  <c r="S357" i="1"/>
  <c r="S359" i="1"/>
  <c r="S361" i="1"/>
  <c r="S363" i="1"/>
  <c r="V368" i="1"/>
  <c r="S370" i="1"/>
  <c r="S93" i="1"/>
  <c r="S112" i="1"/>
  <c r="S108" i="1"/>
  <c r="S118" i="1"/>
  <c r="S141" i="1"/>
  <c r="S145" i="1"/>
  <c r="T74" i="1"/>
  <c r="U81" i="1"/>
  <c r="V132" i="1"/>
  <c r="U134" i="1"/>
  <c r="V156" i="1"/>
  <c r="S183" i="1"/>
  <c r="S280" i="1"/>
  <c r="U298" i="1"/>
  <c r="S350" i="1"/>
  <c r="S106" i="1"/>
  <c r="V96" i="1"/>
  <c r="S102" i="1"/>
  <c r="V136" i="1"/>
  <c r="U142" i="1"/>
  <c r="S194" i="1"/>
  <c r="S198" i="1"/>
  <c r="V298" i="1"/>
  <c r="U46" i="1"/>
  <c r="T56" i="1"/>
  <c r="T96" i="1"/>
  <c r="S99" i="1"/>
  <c r="S101" i="1"/>
  <c r="S103" i="1"/>
  <c r="S116" i="1"/>
  <c r="V122" i="1"/>
  <c r="V127" i="1"/>
  <c r="U132" i="1"/>
  <c r="T134" i="1"/>
  <c r="V148" i="1"/>
  <c r="V150" i="1"/>
  <c r="S152" i="1"/>
  <c r="U156" i="1"/>
  <c r="S158" i="1"/>
  <c r="S164" i="1"/>
  <c r="S191" i="1"/>
  <c r="S193" i="1"/>
  <c r="S196" i="1"/>
  <c r="U275" i="1"/>
  <c r="S284" i="1"/>
  <c r="S291" i="1"/>
  <c r="V294" i="1"/>
  <c r="S316" i="1"/>
  <c r="V333" i="1"/>
  <c r="V337" i="1"/>
  <c r="V90" i="1"/>
  <c r="S92" i="1"/>
  <c r="S111" i="1"/>
  <c r="S107" i="1"/>
  <c r="U114" i="1"/>
  <c r="S120" i="1"/>
  <c r="S140" i="1"/>
  <c r="S144" i="1"/>
  <c r="I57" i="1"/>
  <c r="U57" i="1"/>
  <c r="I66" i="1"/>
  <c r="U66" i="1"/>
  <c r="I70" i="1"/>
  <c r="U70" i="1"/>
  <c r="I73" i="1"/>
  <c r="V73" i="1"/>
  <c r="I75" i="1"/>
  <c r="V75" i="1"/>
  <c r="I79" i="1"/>
  <c r="U79" i="1"/>
  <c r="I83" i="1"/>
  <c r="U83" i="1"/>
  <c r="J344" i="1"/>
  <c r="J340" i="1" s="1"/>
  <c r="T346" i="1"/>
  <c r="S356" i="1"/>
  <c r="S358" i="1"/>
  <c r="S360" i="1"/>
  <c r="S362" i="1"/>
  <c r="S369" i="1"/>
  <c r="S372" i="1"/>
  <c r="I50" i="1"/>
  <c r="U50" i="1"/>
  <c r="I60" i="1"/>
  <c r="U60" i="1"/>
  <c r="I65" i="1"/>
  <c r="U65" i="1"/>
  <c r="I69" i="1"/>
  <c r="U69" i="1"/>
  <c r="I78" i="1"/>
  <c r="U78" i="1"/>
  <c r="I82" i="1"/>
  <c r="T82" i="1"/>
  <c r="I153" i="1"/>
  <c r="V165" i="1"/>
  <c r="M271" i="1"/>
  <c r="I275" i="1"/>
  <c r="S276" i="1"/>
  <c r="S289" i="1"/>
  <c r="S292" i="1"/>
  <c r="I296" i="1"/>
  <c r="T296" i="1"/>
  <c r="S302" i="1"/>
  <c r="S306" i="1"/>
  <c r="S310" i="1"/>
  <c r="S314" i="1"/>
  <c r="S318" i="1"/>
  <c r="S322" i="1"/>
  <c r="S329" i="1"/>
  <c r="K344" i="1"/>
  <c r="U346" i="1"/>
  <c r="I48" i="1"/>
  <c r="U48" i="1"/>
  <c r="I59" i="1"/>
  <c r="U59" i="1"/>
  <c r="I64" i="1"/>
  <c r="U64" i="1"/>
  <c r="I68" i="1"/>
  <c r="U68" i="1"/>
  <c r="I72" i="1"/>
  <c r="V72" i="1"/>
  <c r="I77" i="1"/>
  <c r="U77" i="1"/>
  <c r="L274" i="1"/>
  <c r="L271" i="1" s="1"/>
  <c r="V279" i="1"/>
  <c r="I295" i="1"/>
  <c r="T295" i="1"/>
  <c r="L344" i="1"/>
  <c r="V346" i="1"/>
  <c r="I54" i="1"/>
  <c r="V54" i="1"/>
  <c r="I49" i="1"/>
  <c r="U49" i="1"/>
  <c r="I47" i="1"/>
  <c r="U47" i="1"/>
  <c r="I51" i="1"/>
  <c r="U51" i="1"/>
  <c r="I55" i="1"/>
  <c r="T55" i="1"/>
  <c r="I58" i="1"/>
  <c r="U58" i="1"/>
  <c r="I63" i="1"/>
  <c r="U63" i="1"/>
  <c r="I67" i="1"/>
  <c r="U67" i="1"/>
  <c r="I71" i="1"/>
  <c r="U71" i="1"/>
  <c r="I80" i="1"/>
  <c r="U80" i="1"/>
  <c r="S84" i="1"/>
  <c r="S290" i="1"/>
  <c r="S300" i="1"/>
  <c r="S304" i="1"/>
  <c r="S308" i="1"/>
  <c r="S312" i="1"/>
  <c r="S320" i="1"/>
  <c r="S324" i="1"/>
  <c r="S339" i="1"/>
  <c r="S365" i="1"/>
  <c r="S367" i="1"/>
  <c r="S376" i="1"/>
  <c r="I53" i="1"/>
  <c r="P344" i="1"/>
  <c r="N45" i="1"/>
  <c r="I46" i="1"/>
  <c r="K45" i="1"/>
  <c r="D45" i="1"/>
  <c r="I44" i="1"/>
  <c r="N44" i="1"/>
  <c r="O344" i="1"/>
  <c r="I373" i="1"/>
  <c r="M371" i="1"/>
  <c r="O271" i="1"/>
  <c r="N373" i="1"/>
  <c r="R271" i="1"/>
  <c r="N278" i="1"/>
  <c r="Q344" i="1"/>
  <c r="R344" i="1"/>
  <c r="K74" i="1"/>
  <c r="L74" i="1"/>
  <c r="N130" i="1"/>
  <c r="I156" i="1"/>
  <c r="P274" i="1"/>
  <c r="P89" i="1"/>
  <c r="I127" i="1"/>
  <c r="I76" i="1"/>
  <c r="D56" i="1"/>
  <c r="I130" i="1"/>
  <c r="I333" i="1"/>
  <c r="R89" i="1"/>
  <c r="N279" i="1"/>
  <c r="I297" i="1"/>
  <c r="D74" i="1"/>
  <c r="D294" i="1"/>
  <c r="I337" i="1"/>
  <c r="N364" i="1"/>
  <c r="I132" i="1"/>
  <c r="N132" i="1"/>
  <c r="I150" i="1"/>
  <c r="E44" i="1"/>
  <c r="D61" i="1"/>
  <c r="L160" i="1"/>
  <c r="I165" i="1"/>
  <c r="K61" i="1"/>
  <c r="L61" i="1"/>
  <c r="O89" i="1"/>
  <c r="N96" i="1"/>
  <c r="J89" i="1"/>
  <c r="I134" i="1"/>
  <c r="N134" i="1"/>
  <c r="K274" i="1"/>
  <c r="I279" i="1"/>
  <c r="N333" i="1"/>
  <c r="N368" i="1"/>
  <c r="I122" i="1"/>
  <c r="I136" i="1"/>
  <c r="I148" i="1"/>
  <c r="N148" i="1"/>
  <c r="Q160" i="1"/>
  <c r="N165" i="1"/>
  <c r="D298" i="1"/>
  <c r="N336" i="1"/>
  <c r="I90" i="1"/>
  <c r="I114" i="1"/>
  <c r="I142" i="1"/>
  <c r="L89" i="1"/>
  <c r="N56" i="1"/>
  <c r="I62" i="1"/>
  <c r="K89" i="1"/>
  <c r="N298" i="1"/>
  <c r="I336" i="1"/>
  <c r="I346" i="1"/>
  <c r="N81" i="1"/>
  <c r="J294" i="1"/>
  <c r="N346" i="1"/>
  <c r="I368" i="1"/>
  <c r="N61" i="1"/>
  <c r="D81" i="1"/>
  <c r="D85" i="1"/>
  <c r="M89" i="1"/>
  <c r="Q89" i="1"/>
  <c r="N294" i="1"/>
  <c r="N337" i="1"/>
  <c r="I364" i="1"/>
  <c r="J81" i="1"/>
  <c r="K56" i="1"/>
  <c r="N74" i="1"/>
  <c r="Q275" i="1"/>
  <c r="V275" i="1" l="1"/>
  <c r="S364" i="1"/>
  <c r="U89" i="1"/>
  <c r="S148" i="1"/>
  <c r="S76" i="1"/>
  <c r="U74" i="1"/>
  <c r="S80" i="1"/>
  <c r="S67" i="1"/>
  <c r="S58" i="1"/>
  <c r="S51" i="1"/>
  <c r="S49" i="1"/>
  <c r="V344" i="1"/>
  <c r="S72" i="1"/>
  <c r="S64" i="1"/>
  <c r="S48" i="1"/>
  <c r="S153" i="1"/>
  <c r="S78" i="1"/>
  <c r="S65" i="1"/>
  <c r="S50" i="1"/>
  <c r="S79" i="1"/>
  <c r="S73" i="1"/>
  <c r="S66" i="1"/>
  <c r="S298" i="1"/>
  <c r="I274" i="1"/>
  <c r="S150" i="1"/>
  <c r="V74" i="1"/>
  <c r="S44" i="1"/>
  <c r="S296" i="1"/>
  <c r="S368" i="1"/>
  <c r="S346" i="1"/>
  <c r="S62" i="1"/>
  <c r="S142" i="1"/>
  <c r="S114" i="1"/>
  <c r="S136" i="1"/>
  <c r="V61" i="1"/>
  <c r="S132" i="1"/>
  <c r="S127" i="1"/>
  <c r="S156" i="1"/>
  <c r="U45" i="1"/>
  <c r="S53" i="1"/>
  <c r="S122" i="1"/>
  <c r="S96" i="1"/>
  <c r="S278" i="1"/>
  <c r="T81" i="1"/>
  <c r="S336" i="1"/>
  <c r="S90" i="1"/>
  <c r="S279" i="1"/>
  <c r="U61" i="1"/>
  <c r="S297" i="1"/>
  <c r="S130" i="1"/>
  <c r="S71" i="1"/>
  <c r="S63" i="1"/>
  <c r="S55" i="1"/>
  <c r="S47" i="1"/>
  <c r="S54" i="1"/>
  <c r="S295" i="1"/>
  <c r="S77" i="1"/>
  <c r="S68" i="1"/>
  <c r="S59" i="1"/>
  <c r="S82" i="1"/>
  <c r="S69" i="1"/>
  <c r="S60" i="1"/>
  <c r="S83" i="1"/>
  <c r="S75" i="1"/>
  <c r="S70" i="1"/>
  <c r="S57" i="1"/>
  <c r="I160" i="1"/>
  <c r="V160" i="1"/>
  <c r="S373" i="1"/>
  <c r="S134" i="1"/>
  <c r="S333" i="1"/>
  <c r="T344" i="1"/>
  <c r="I56" i="1"/>
  <c r="U56" i="1"/>
  <c r="J88" i="1"/>
  <c r="T89" i="1"/>
  <c r="I45" i="1"/>
  <c r="S46" i="1"/>
  <c r="L340" i="1"/>
  <c r="I294" i="1"/>
  <c r="T294" i="1"/>
  <c r="V89" i="1"/>
  <c r="K271" i="1"/>
  <c r="U274" i="1"/>
  <c r="S165" i="1"/>
  <c r="S337" i="1"/>
  <c r="I371" i="1"/>
  <c r="U344" i="1"/>
  <c r="P340" i="1"/>
  <c r="N344" i="1"/>
  <c r="I74" i="1"/>
  <c r="O340" i="1"/>
  <c r="T340" i="1" s="1"/>
  <c r="D44" i="1"/>
  <c r="I344" i="1"/>
  <c r="M340" i="1"/>
  <c r="Q340" i="1"/>
  <c r="P88" i="1"/>
  <c r="O88" i="1"/>
  <c r="P271" i="1"/>
  <c r="Q274" i="1"/>
  <c r="N274" i="1" s="1"/>
  <c r="R340" i="1"/>
  <c r="Q88" i="1"/>
  <c r="R88" i="1"/>
  <c r="N160" i="1"/>
  <c r="I61" i="1"/>
  <c r="M88" i="1"/>
  <c r="L88" i="1"/>
  <c r="N89" i="1"/>
  <c r="I89" i="1"/>
  <c r="K88" i="1"/>
  <c r="N275" i="1"/>
  <c r="S275" i="1" s="1"/>
  <c r="N371" i="1"/>
  <c r="I81" i="1"/>
  <c r="S344" i="1" l="1"/>
  <c r="S294" i="1"/>
  <c r="S74" i="1"/>
  <c r="S56" i="1"/>
  <c r="S81" i="1"/>
  <c r="S89" i="1"/>
  <c r="S61" i="1"/>
  <c r="I271" i="1"/>
  <c r="U340" i="1"/>
  <c r="S45" i="1"/>
  <c r="K85" i="1"/>
  <c r="U88" i="1"/>
  <c r="M85" i="1"/>
  <c r="M42" i="1" s="1"/>
  <c r="I340" i="1"/>
  <c r="S371" i="1"/>
  <c r="U271" i="1"/>
  <c r="V340" i="1"/>
  <c r="J85" i="1"/>
  <c r="T88" i="1"/>
  <c r="V274" i="1"/>
  <c r="S274" i="1"/>
  <c r="L85" i="1"/>
  <c r="V88" i="1"/>
  <c r="S160" i="1"/>
  <c r="N340" i="1"/>
  <c r="O85" i="1"/>
  <c r="O42" i="1" s="1"/>
  <c r="N88" i="1"/>
  <c r="Q85" i="1"/>
  <c r="Q271" i="1"/>
  <c r="R85" i="1"/>
  <c r="R42" i="1" s="1"/>
  <c r="P85" i="1"/>
  <c r="P42" i="1" s="1"/>
  <c r="I88" i="1"/>
  <c r="V271" i="1" l="1"/>
  <c r="S88" i="1"/>
  <c r="K42" i="1"/>
  <c r="L42" i="1"/>
  <c r="V85" i="1"/>
  <c r="T85" i="1"/>
  <c r="J42" i="1"/>
  <c r="S340" i="1"/>
  <c r="U85" i="1"/>
  <c r="Q42" i="1"/>
  <c r="N85" i="1"/>
  <c r="N271" i="1"/>
  <c r="S271" i="1" s="1"/>
  <c r="I87" i="1"/>
  <c r="R982" i="1"/>
  <c r="Q982" i="1"/>
  <c r="O982" i="1"/>
  <c r="M982" i="1"/>
  <c r="L982" i="1"/>
  <c r="J982" i="1"/>
  <c r="G982" i="1"/>
  <c r="H982" i="1"/>
  <c r="E982" i="1"/>
  <c r="I988" i="1"/>
  <c r="D986" i="1"/>
  <c r="S87" i="1" l="1"/>
  <c r="U42" i="1"/>
  <c r="T982" i="1"/>
  <c r="T42" i="1"/>
  <c r="V982" i="1"/>
  <c r="V42" i="1"/>
  <c r="N42" i="1"/>
  <c r="D982" i="1"/>
  <c r="I85" i="1"/>
  <c r="N990" i="1"/>
  <c r="I990" i="1"/>
  <c r="N989" i="1"/>
  <c r="I989" i="1"/>
  <c r="N988" i="1"/>
  <c r="S988" i="1" s="1"/>
  <c r="P986" i="1"/>
  <c r="K986" i="1"/>
  <c r="N985" i="1"/>
  <c r="I985" i="1"/>
  <c r="N984" i="1"/>
  <c r="I984" i="1"/>
  <c r="S985" i="1" l="1"/>
  <c r="S990" i="1"/>
  <c r="S989" i="1"/>
  <c r="I42" i="1"/>
  <c r="S85" i="1"/>
  <c r="S984" i="1"/>
  <c r="U986" i="1"/>
  <c r="P982" i="1"/>
  <c r="I986" i="1"/>
  <c r="K982" i="1"/>
  <c r="N986" i="1"/>
  <c r="S986" i="1" l="1"/>
  <c r="I982" i="1"/>
  <c r="U982" i="1"/>
  <c r="S42" i="1"/>
  <c r="N982" i="1"/>
  <c r="D920" i="1"/>
  <c r="S982" i="1" l="1"/>
  <c r="I906" i="1"/>
  <c r="D906" i="1"/>
  <c r="D905" i="1"/>
  <c r="D904" i="1"/>
  <c r="F902" i="1"/>
  <c r="E902" i="1"/>
  <c r="R905" i="1" l="1"/>
  <c r="Q905" i="1"/>
  <c r="P905" i="1"/>
  <c r="O905" i="1"/>
  <c r="K905" i="1"/>
  <c r="L905" i="1"/>
  <c r="M905" i="1"/>
  <c r="J905" i="1"/>
  <c r="V905" i="1" l="1"/>
  <c r="T905" i="1"/>
  <c r="U905" i="1"/>
  <c r="I905" i="1"/>
  <c r="N905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I917" i="1"/>
  <c r="I916" i="1"/>
  <c r="I915" i="1"/>
  <c r="I914" i="1"/>
  <c r="I913" i="1"/>
  <c r="I912" i="1"/>
  <c r="I911" i="1"/>
  <c r="I910" i="1"/>
  <c r="I909" i="1"/>
  <c r="I908" i="1"/>
  <c r="I907" i="1"/>
  <c r="D907" i="1"/>
  <c r="D908" i="1"/>
  <c r="D909" i="1"/>
  <c r="D910" i="1"/>
  <c r="D911" i="1"/>
  <c r="D912" i="1"/>
  <c r="D913" i="1"/>
  <c r="D914" i="1"/>
  <c r="D915" i="1"/>
  <c r="D916" i="1"/>
  <c r="D917" i="1"/>
  <c r="N890" i="1"/>
  <c r="I892" i="1"/>
  <c r="N892" i="1"/>
  <c r="M890" i="1"/>
  <c r="L890" i="1"/>
  <c r="K890" i="1"/>
  <c r="J890" i="1"/>
  <c r="R883" i="1"/>
  <c r="Q883" i="1"/>
  <c r="P883" i="1"/>
  <c r="O883" i="1"/>
  <c r="M883" i="1"/>
  <c r="L883" i="1"/>
  <c r="K883" i="1"/>
  <c r="J883" i="1"/>
  <c r="F883" i="1"/>
  <c r="G883" i="1"/>
  <c r="H883" i="1"/>
  <c r="E883" i="1"/>
  <c r="N885" i="1"/>
  <c r="I885" i="1"/>
  <c r="D885" i="1"/>
  <c r="S912" i="1" l="1"/>
  <c r="U883" i="1"/>
  <c r="T890" i="1"/>
  <c r="S909" i="1"/>
  <c r="S913" i="1"/>
  <c r="S917" i="1"/>
  <c r="S916" i="1"/>
  <c r="S910" i="1"/>
  <c r="S906" i="1"/>
  <c r="T883" i="1"/>
  <c r="S908" i="1"/>
  <c r="S885" i="1"/>
  <c r="V883" i="1"/>
  <c r="U890" i="1"/>
  <c r="S914" i="1"/>
  <c r="V890" i="1"/>
  <c r="S907" i="1"/>
  <c r="S911" i="1"/>
  <c r="S915" i="1"/>
  <c r="S892" i="1"/>
  <c r="S905" i="1"/>
  <c r="J880" i="1"/>
  <c r="I890" i="1"/>
  <c r="I883" i="1"/>
  <c r="N883" i="1"/>
  <c r="D883" i="1"/>
  <c r="J961" i="1"/>
  <c r="N962" i="1"/>
  <c r="R961" i="1"/>
  <c r="Q961" i="1"/>
  <c r="P961" i="1"/>
  <c r="O961" i="1"/>
  <c r="I962" i="1"/>
  <c r="M961" i="1"/>
  <c r="L961" i="1"/>
  <c r="K961" i="1"/>
  <c r="F961" i="1"/>
  <c r="G961" i="1"/>
  <c r="H961" i="1"/>
  <c r="D962" i="1"/>
  <c r="E961" i="1"/>
  <c r="N956" i="1"/>
  <c r="N957" i="1"/>
  <c r="N958" i="1"/>
  <c r="N959" i="1"/>
  <c r="N960" i="1"/>
  <c r="I956" i="1"/>
  <c r="I957" i="1"/>
  <c r="I958" i="1"/>
  <c r="I959" i="1"/>
  <c r="I960" i="1"/>
  <c r="R952" i="1"/>
  <c r="Q952" i="1"/>
  <c r="P952" i="1"/>
  <c r="O952" i="1"/>
  <c r="M952" i="1"/>
  <c r="L952" i="1"/>
  <c r="K952" i="1"/>
  <c r="J952" i="1"/>
  <c r="F952" i="1"/>
  <c r="G952" i="1"/>
  <c r="H952" i="1"/>
  <c r="E952" i="1"/>
  <c r="D956" i="1"/>
  <c r="D957" i="1"/>
  <c r="D958" i="1"/>
  <c r="D959" i="1"/>
  <c r="D960" i="1"/>
  <c r="N950" i="1"/>
  <c r="N951" i="1"/>
  <c r="O946" i="1"/>
  <c r="R946" i="1"/>
  <c r="Q946" i="1"/>
  <c r="P946" i="1"/>
  <c r="K946" i="1"/>
  <c r="L946" i="1"/>
  <c r="M946" i="1"/>
  <c r="J946" i="1"/>
  <c r="F946" i="1"/>
  <c r="G946" i="1"/>
  <c r="H946" i="1"/>
  <c r="E946" i="1"/>
  <c r="I950" i="1"/>
  <c r="I951" i="1"/>
  <c r="D950" i="1"/>
  <c r="D951" i="1"/>
  <c r="N399" i="1"/>
  <c r="Q398" i="1"/>
  <c r="P398" i="1"/>
  <c r="O398" i="1"/>
  <c r="N397" i="1"/>
  <c r="Q396" i="1"/>
  <c r="P396" i="1"/>
  <c r="O396" i="1"/>
  <c r="N395" i="1"/>
  <c r="Q394" i="1"/>
  <c r="P394" i="1"/>
  <c r="O394" i="1"/>
  <c r="N393" i="1"/>
  <c r="Q392" i="1"/>
  <c r="P392" i="1"/>
  <c r="O392" i="1"/>
  <c r="N391" i="1"/>
  <c r="Q390" i="1"/>
  <c r="P390" i="1"/>
  <c r="O390" i="1"/>
  <c r="N389" i="1"/>
  <c r="R388" i="1"/>
  <c r="Q388" i="1"/>
  <c r="P388" i="1"/>
  <c r="O388" i="1"/>
  <c r="N387" i="1"/>
  <c r="N386" i="1"/>
  <c r="N385" i="1"/>
  <c r="R384" i="1"/>
  <c r="Q384" i="1"/>
  <c r="P384" i="1"/>
  <c r="O384" i="1"/>
  <c r="N383" i="1"/>
  <c r="N382" i="1"/>
  <c r="R381" i="1"/>
  <c r="Q381" i="1"/>
  <c r="P381" i="1"/>
  <c r="O381" i="1"/>
  <c r="J388" i="1"/>
  <c r="E398" i="1"/>
  <c r="H398" i="1"/>
  <c r="G398" i="1"/>
  <c r="F398" i="1"/>
  <c r="H396" i="1"/>
  <c r="G396" i="1"/>
  <c r="F396" i="1"/>
  <c r="E396" i="1"/>
  <c r="H394" i="1"/>
  <c r="G394" i="1"/>
  <c r="F394" i="1"/>
  <c r="E394" i="1"/>
  <c r="E392" i="1"/>
  <c r="H392" i="1"/>
  <c r="G392" i="1"/>
  <c r="F392" i="1"/>
  <c r="H390" i="1"/>
  <c r="G390" i="1"/>
  <c r="F390" i="1"/>
  <c r="E390" i="1"/>
  <c r="H388" i="1"/>
  <c r="G388" i="1"/>
  <c r="F388" i="1"/>
  <c r="E388" i="1"/>
  <c r="M388" i="1"/>
  <c r="H384" i="1"/>
  <c r="G384" i="1"/>
  <c r="F384" i="1"/>
  <c r="E384" i="1"/>
  <c r="K384" i="1"/>
  <c r="L384" i="1"/>
  <c r="M384" i="1"/>
  <c r="J384" i="1"/>
  <c r="I383" i="1"/>
  <c r="I385" i="1"/>
  <c r="I386" i="1"/>
  <c r="I387" i="1"/>
  <c r="I389" i="1"/>
  <c r="I391" i="1"/>
  <c r="I393" i="1"/>
  <c r="I395" i="1"/>
  <c r="I397" i="1"/>
  <c r="I399" i="1"/>
  <c r="I382" i="1"/>
  <c r="J381" i="1"/>
  <c r="K381" i="1"/>
  <c r="L381" i="1"/>
  <c r="M381" i="1"/>
  <c r="D381" i="1"/>
  <c r="E381" i="1"/>
  <c r="F381" i="1"/>
  <c r="G381" i="1"/>
  <c r="H381" i="1"/>
  <c r="L398" i="1"/>
  <c r="K398" i="1"/>
  <c r="J398" i="1"/>
  <c r="L396" i="1"/>
  <c r="K396" i="1"/>
  <c r="J396" i="1"/>
  <c r="L394" i="1"/>
  <c r="K394" i="1"/>
  <c r="J394" i="1"/>
  <c r="L392" i="1"/>
  <c r="K392" i="1"/>
  <c r="J392" i="1"/>
  <c r="L390" i="1"/>
  <c r="K390" i="1"/>
  <c r="J390" i="1"/>
  <c r="L388" i="1"/>
  <c r="K388" i="1"/>
  <c r="U388" i="1" l="1"/>
  <c r="T394" i="1"/>
  <c r="S397" i="1"/>
  <c r="U384" i="1"/>
  <c r="U946" i="1"/>
  <c r="T392" i="1"/>
  <c r="T381" i="1"/>
  <c r="S395" i="1"/>
  <c r="S387" i="1"/>
  <c r="T384" i="1"/>
  <c r="T946" i="1"/>
  <c r="U952" i="1"/>
  <c r="S959" i="1"/>
  <c r="V398" i="1"/>
  <c r="U381" i="1"/>
  <c r="S383" i="1"/>
  <c r="V961" i="1"/>
  <c r="T961" i="1"/>
  <c r="S890" i="1"/>
  <c r="U394" i="1"/>
  <c r="U392" i="1"/>
  <c r="S393" i="1"/>
  <c r="S386" i="1"/>
  <c r="T388" i="1"/>
  <c r="V952" i="1"/>
  <c r="S958" i="1"/>
  <c r="S962" i="1"/>
  <c r="V390" i="1"/>
  <c r="U396" i="1"/>
  <c r="S389" i="1"/>
  <c r="T952" i="1"/>
  <c r="V388" i="1"/>
  <c r="V396" i="1"/>
  <c r="T390" i="1"/>
  <c r="V394" i="1"/>
  <c r="T398" i="1"/>
  <c r="S382" i="1"/>
  <c r="U390" i="1"/>
  <c r="V392" i="1"/>
  <c r="T396" i="1"/>
  <c r="U398" i="1"/>
  <c r="V381" i="1"/>
  <c r="S399" i="1"/>
  <c r="S391" i="1"/>
  <c r="S385" i="1"/>
  <c r="V384" i="1"/>
  <c r="S957" i="1"/>
  <c r="U961" i="1"/>
  <c r="S951" i="1"/>
  <c r="V946" i="1"/>
  <c r="S883" i="1"/>
  <c r="S950" i="1"/>
  <c r="S960" i="1"/>
  <c r="S956" i="1"/>
  <c r="J380" i="1"/>
  <c r="E943" i="1"/>
  <c r="I381" i="1"/>
  <c r="P943" i="1"/>
  <c r="H943" i="1"/>
  <c r="Q943" i="1"/>
  <c r="R943" i="1"/>
  <c r="O943" i="1"/>
  <c r="N961" i="1"/>
  <c r="J943" i="1"/>
  <c r="R380" i="1"/>
  <c r="F943" i="1"/>
  <c r="D952" i="1"/>
  <c r="N952" i="1"/>
  <c r="D961" i="1"/>
  <c r="N392" i="1"/>
  <c r="N396" i="1"/>
  <c r="N398" i="1"/>
  <c r="I396" i="1"/>
  <c r="G943" i="1"/>
  <c r="L943" i="1"/>
  <c r="I952" i="1"/>
  <c r="K943" i="1"/>
  <c r="D946" i="1"/>
  <c r="I394" i="1"/>
  <c r="I961" i="1"/>
  <c r="M943" i="1"/>
  <c r="I384" i="1"/>
  <c r="D384" i="1"/>
  <c r="N381" i="1"/>
  <c r="D392" i="1"/>
  <c r="D398" i="1"/>
  <c r="D396" i="1"/>
  <c r="P380" i="1"/>
  <c r="I390" i="1"/>
  <c r="I398" i="1"/>
  <c r="I946" i="1"/>
  <c r="L380" i="1"/>
  <c r="I392" i="1"/>
  <c r="M380" i="1"/>
  <c r="N394" i="1"/>
  <c r="K380" i="1"/>
  <c r="D388" i="1"/>
  <c r="D390" i="1"/>
  <c r="D394" i="1"/>
  <c r="N390" i="1"/>
  <c r="Q380" i="1"/>
  <c r="N388" i="1"/>
  <c r="N384" i="1"/>
  <c r="O380" i="1"/>
  <c r="I388" i="1"/>
  <c r="S952" i="1" l="1"/>
  <c r="S398" i="1"/>
  <c r="U380" i="1"/>
  <c r="V943" i="1"/>
  <c r="S392" i="1"/>
  <c r="U943" i="1"/>
  <c r="S394" i="1"/>
  <c r="T380" i="1"/>
  <c r="S384" i="1"/>
  <c r="S390" i="1"/>
  <c r="S396" i="1"/>
  <c r="S381" i="1"/>
  <c r="S388" i="1"/>
  <c r="V380" i="1"/>
  <c r="S961" i="1"/>
  <c r="T943" i="1"/>
  <c r="I380" i="1"/>
  <c r="P378" i="1"/>
  <c r="N380" i="1"/>
  <c r="S379" i="1" l="1"/>
  <c r="I378" i="1"/>
  <c r="S380" i="1"/>
  <c r="E928" i="1"/>
  <c r="J928" i="1"/>
  <c r="O928" i="1"/>
  <c r="D938" i="1"/>
  <c r="I938" i="1"/>
  <c r="N938" i="1"/>
  <c r="T928" i="1" l="1"/>
  <c r="S938" i="1"/>
  <c r="I402" i="1"/>
  <c r="D402" i="1"/>
  <c r="D403" i="1"/>
  <c r="D419" i="1"/>
  <c r="N416" i="1"/>
  <c r="I416" i="1"/>
  <c r="D416" i="1"/>
  <c r="N415" i="1"/>
  <c r="I415" i="1"/>
  <c r="D415" i="1"/>
  <c r="N412" i="1"/>
  <c r="I412" i="1"/>
  <c r="D412" i="1"/>
  <c r="R410" i="1"/>
  <c r="Q410" i="1"/>
  <c r="P410" i="1"/>
  <c r="O410" i="1"/>
  <c r="M410" i="1"/>
  <c r="L410" i="1"/>
  <c r="K410" i="1"/>
  <c r="J410" i="1"/>
  <c r="H410" i="1"/>
  <c r="G410" i="1"/>
  <c r="F410" i="1"/>
  <c r="E410" i="1"/>
  <c r="I419" i="1"/>
  <c r="N419" i="1"/>
  <c r="D420" i="1"/>
  <c r="I420" i="1"/>
  <c r="N420" i="1"/>
  <c r="D421" i="1"/>
  <c r="I421" i="1"/>
  <c r="N421" i="1"/>
  <c r="D408" i="1"/>
  <c r="I408" i="1"/>
  <c r="N408" i="1"/>
  <c r="N404" i="1"/>
  <c r="S408" i="1" l="1"/>
  <c r="V410" i="1"/>
  <c r="S419" i="1"/>
  <c r="S416" i="1"/>
  <c r="S415" i="1"/>
  <c r="U410" i="1"/>
  <c r="S420" i="1"/>
  <c r="J400" i="1"/>
  <c r="T410" i="1"/>
  <c r="S421" i="1"/>
  <c r="S412" i="1"/>
  <c r="I413" i="1"/>
  <c r="N413" i="1"/>
  <c r="Q400" i="1"/>
  <c r="E400" i="1"/>
  <c r="F400" i="1"/>
  <c r="P400" i="1"/>
  <c r="H400" i="1"/>
  <c r="M400" i="1"/>
  <c r="R400" i="1"/>
  <c r="K400" i="1"/>
  <c r="G400" i="1"/>
  <c r="O400" i="1"/>
  <c r="L400" i="1"/>
  <c r="I410" i="1"/>
  <c r="N410" i="1"/>
  <c r="D410" i="1"/>
  <c r="D413" i="1"/>
  <c r="N402" i="1"/>
  <c r="S402" i="1" s="1"/>
  <c r="N1010" i="1"/>
  <c r="I1010" i="1"/>
  <c r="D1010" i="1"/>
  <c r="D1008" i="1" s="1"/>
  <c r="R1008" i="1"/>
  <c r="Q1008" i="1"/>
  <c r="P1008" i="1"/>
  <c r="O1008" i="1"/>
  <c r="M1008" i="1"/>
  <c r="L1008" i="1"/>
  <c r="K1008" i="1"/>
  <c r="J1008" i="1"/>
  <c r="H1008" i="1"/>
  <c r="G1008" i="1"/>
  <c r="F1008" i="1"/>
  <c r="E1008" i="1"/>
  <c r="E1004" i="1"/>
  <c r="F1004" i="1"/>
  <c r="G1004" i="1"/>
  <c r="H1004" i="1"/>
  <c r="J1004" i="1"/>
  <c r="K1004" i="1"/>
  <c r="L1004" i="1"/>
  <c r="M1004" i="1"/>
  <c r="O1004" i="1"/>
  <c r="P1004" i="1"/>
  <c r="Q1004" i="1"/>
  <c r="R1004" i="1"/>
  <c r="D1007" i="1"/>
  <c r="I1007" i="1"/>
  <c r="N1007" i="1"/>
  <c r="N978" i="1"/>
  <c r="I978" i="1"/>
  <c r="D978" i="1"/>
  <c r="D976" i="1" s="1"/>
  <c r="R976" i="1"/>
  <c r="Q976" i="1"/>
  <c r="P976" i="1"/>
  <c r="O976" i="1"/>
  <c r="M976" i="1"/>
  <c r="L976" i="1"/>
  <c r="K976" i="1"/>
  <c r="J976" i="1"/>
  <c r="H976" i="1"/>
  <c r="G976" i="1"/>
  <c r="F976" i="1"/>
  <c r="E976" i="1"/>
  <c r="N920" i="1"/>
  <c r="I919" i="1"/>
  <c r="G902" i="1"/>
  <c r="H902" i="1"/>
  <c r="J919" i="1"/>
  <c r="K919" i="1"/>
  <c r="L919" i="1"/>
  <c r="M919" i="1"/>
  <c r="O919" i="1"/>
  <c r="P919" i="1"/>
  <c r="Q919" i="1"/>
  <c r="R919" i="1"/>
  <c r="U976" i="1" l="1"/>
  <c r="T1004" i="1"/>
  <c r="S410" i="1"/>
  <c r="U400" i="1"/>
  <c r="V976" i="1"/>
  <c r="T1008" i="1"/>
  <c r="V400" i="1"/>
  <c r="S413" i="1"/>
  <c r="S920" i="1"/>
  <c r="U1008" i="1"/>
  <c r="T976" i="1"/>
  <c r="U1004" i="1"/>
  <c r="V1008" i="1"/>
  <c r="I976" i="1"/>
  <c r="S978" i="1"/>
  <c r="L902" i="1"/>
  <c r="V919" i="1"/>
  <c r="V1004" i="1"/>
  <c r="I1008" i="1"/>
  <c r="S1010" i="1"/>
  <c r="T400" i="1"/>
  <c r="K902" i="1"/>
  <c r="U919" i="1"/>
  <c r="J902" i="1"/>
  <c r="T919" i="1"/>
  <c r="M902" i="1"/>
  <c r="S1007" i="1"/>
  <c r="R902" i="1"/>
  <c r="O902" i="1"/>
  <c r="N919" i="1"/>
  <c r="S919" i="1" s="1"/>
  <c r="N1008" i="1"/>
  <c r="Q902" i="1"/>
  <c r="P902" i="1"/>
  <c r="N976" i="1"/>
  <c r="D918" i="1"/>
  <c r="I918" i="1"/>
  <c r="N918" i="1"/>
  <c r="D919" i="1"/>
  <c r="N904" i="1"/>
  <c r="I904" i="1"/>
  <c r="S1008" i="1" l="1"/>
  <c r="T902" i="1"/>
  <c r="S904" i="1"/>
  <c r="U902" i="1"/>
  <c r="V902" i="1"/>
  <c r="S918" i="1"/>
  <c r="S976" i="1"/>
  <c r="I902" i="1"/>
  <c r="D902" i="1"/>
  <c r="N902" i="1"/>
  <c r="N901" i="1"/>
  <c r="I901" i="1"/>
  <c r="D901" i="1"/>
  <c r="D899" i="1" s="1"/>
  <c r="R899" i="1"/>
  <c r="Q899" i="1"/>
  <c r="P899" i="1"/>
  <c r="O899" i="1"/>
  <c r="M899" i="1"/>
  <c r="L899" i="1"/>
  <c r="K899" i="1"/>
  <c r="J899" i="1"/>
  <c r="H899" i="1"/>
  <c r="G899" i="1"/>
  <c r="F899" i="1"/>
  <c r="E899" i="1"/>
  <c r="D893" i="1"/>
  <c r="I893" i="1"/>
  <c r="N893" i="1"/>
  <c r="D894" i="1"/>
  <c r="I894" i="1"/>
  <c r="N894" i="1"/>
  <c r="D895" i="1"/>
  <c r="I895" i="1"/>
  <c r="N895" i="1"/>
  <c r="D882" i="1"/>
  <c r="N882" i="1"/>
  <c r="I882" i="1"/>
  <c r="E429" i="1"/>
  <c r="F429" i="1"/>
  <c r="G429" i="1"/>
  <c r="H429" i="1"/>
  <c r="J429" i="1"/>
  <c r="K429" i="1"/>
  <c r="L429" i="1"/>
  <c r="M429" i="1"/>
  <c r="O429" i="1"/>
  <c r="P429" i="1"/>
  <c r="Q429" i="1"/>
  <c r="R429" i="1"/>
  <c r="I432" i="1"/>
  <c r="D432" i="1"/>
  <c r="D433" i="1"/>
  <c r="I433" i="1"/>
  <c r="N433" i="1"/>
  <c r="N434" i="1"/>
  <c r="I434" i="1"/>
  <c r="D434" i="1"/>
  <c r="N431" i="1"/>
  <c r="I431" i="1"/>
  <c r="D431" i="1"/>
  <c r="E422" i="1"/>
  <c r="F422" i="1"/>
  <c r="G422" i="1"/>
  <c r="H422" i="1"/>
  <c r="J422" i="1"/>
  <c r="K422" i="1"/>
  <c r="L422" i="1"/>
  <c r="M422" i="1"/>
  <c r="O422" i="1"/>
  <c r="P422" i="1"/>
  <c r="Q422" i="1"/>
  <c r="R422" i="1"/>
  <c r="N425" i="1"/>
  <c r="I425" i="1"/>
  <c r="D425" i="1"/>
  <c r="D424" i="1"/>
  <c r="E378" i="1"/>
  <c r="E335" i="1" s="1"/>
  <c r="E333" i="1" s="1"/>
  <c r="E42" i="1" s="1"/>
  <c r="F378" i="1"/>
  <c r="F335" i="1" s="1"/>
  <c r="F333" i="1" s="1"/>
  <c r="F42" i="1" s="1"/>
  <c r="G378" i="1"/>
  <c r="G335" i="1" s="1"/>
  <c r="G333" i="1" s="1"/>
  <c r="G42" i="1" s="1"/>
  <c r="H378" i="1"/>
  <c r="H335" i="1" s="1"/>
  <c r="H333" i="1" s="1"/>
  <c r="H42" i="1" s="1"/>
  <c r="J378" i="1"/>
  <c r="K378" i="1"/>
  <c r="L378" i="1"/>
  <c r="M378" i="1"/>
  <c r="O378" i="1"/>
  <c r="Q378" i="1"/>
  <c r="R378" i="1"/>
  <c r="N378" i="1"/>
  <c r="D380" i="1"/>
  <c r="V378" i="1" l="1"/>
  <c r="V422" i="1"/>
  <c r="U429" i="1"/>
  <c r="S893" i="1"/>
  <c r="V899" i="1"/>
  <c r="U378" i="1"/>
  <c r="S425" i="1"/>
  <c r="S432" i="1"/>
  <c r="T429" i="1"/>
  <c r="S882" i="1"/>
  <c r="T899" i="1"/>
  <c r="T422" i="1"/>
  <c r="S378" i="1"/>
  <c r="U899" i="1"/>
  <c r="S431" i="1"/>
  <c r="U422" i="1"/>
  <c r="S894" i="1"/>
  <c r="S433" i="1"/>
  <c r="S895" i="1"/>
  <c r="T378" i="1"/>
  <c r="S434" i="1"/>
  <c r="V429" i="1"/>
  <c r="I899" i="1"/>
  <c r="S901" i="1"/>
  <c r="S902" i="1"/>
  <c r="D378" i="1"/>
  <c r="D335" i="1" s="1"/>
  <c r="D333" i="1" s="1"/>
  <c r="D42" i="1" s="1"/>
  <c r="D429" i="1"/>
  <c r="N899" i="1"/>
  <c r="N429" i="1"/>
  <c r="D422" i="1"/>
  <c r="I429" i="1"/>
  <c r="S429" i="1" l="1"/>
  <c r="S903" i="1"/>
  <c r="S899" i="1"/>
  <c r="E38" i="1"/>
  <c r="F38" i="1"/>
  <c r="G38" i="1"/>
  <c r="H38" i="1"/>
  <c r="J38" i="1"/>
  <c r="K38" i="1"/>
  <c r="L38" i="1"/>
  <c r="M38" i="1"/>
  <c r="O38" i="1"/>
  <c r="P38" i="1"/>
  <c r="Q38" i="1"/>
  <c r="R38" i="1"/>
  <c r="N41" i="1"/>
  <c r="I41" i="1"/>
  <c r="D41" i="1"/>
  <c r="N40" i="1"/>
  <c r="I40" i="1"/>
  <c r="D40" i="1"/>
  <c r="S41" i="1" l="1"/>
  <c r="U38" i="1"/>
  <c r="T38" i="1"/>
  <c r="V38" i="1"/>
  <c r="S40" i="1"/>
  <c r="D38" i="1"/>
  <c r="N38" i="1"/>
  <c r="I38" i="1"/>
  <c r="E32" i="1"/>
  <c r="F32" i="1"/>
  <c r="G32" i="1"/>
  <c r="H32" i="1"/>
  <c r="J32" i="1"/>
  <c r="K32" i="1"/>
  <c r="L32" i="1"/>
  <c r="M32" i="1"/>
  <c r="O32" i="1"/>
  <c r="P32" i="1"/>
  <c r="Q32" i="1"/>
  <c r="R32" i="1"/>
  <c r="D36" i="1"/>
  <c r="I36" i="1"/>
  <c r="N36" i="1"/>
  <c r="D34" i="1"/>
  <c r="I34" i="1"/>
  <c r="N34" i="1"/>
  <c r="E29" i="1"/>
  <c r="F29" i="1"/>
  <c r="G29" i="1"/>
  <c r="H29" i="1"/>
  <c r="J29" i="1"/>
  <c r="K29" i="1"/>
  <c r="L29" i="1"/>
  <c r="M29" i="1"/>
  <c r="O29" i="1"/>
  <c r="P29" i="1"/>
  <c r="Q29" i="1"/>
  <c r="R29" i="1"/>
  <c r="N31" i="1"/>
  <c r="N29" i="1" s="1"/>
  <c r="I31" i="1"/>
  <c r="D31" i="1"/>
  <c r="D29" i="1" s="1"/>
  <c r="E18" i="1"/>
  <c r="F18" i="1"/>
  <c r="G18" i="1"/>
  <c r="H18" i="1"/>
  <c r="J18" i="1"/>
  <c r="K18" i="1"/>
  <c r="L18" i="1"/>
  <c r="M18" i="1"/>
  <c r="O18" i="1"/>
  <c r="P18" i="1"/>
  <c r="Q18" i="1"/>
  <c r="R18" i="1"/>
  <c r="D28" i="1"/>
  <c r="I28" i="1"/>
  <c r="N28" i="1"/>
  <c r="D21" i="1"/>
  <c r="I21" i="1"/>
  <c r="N21" i="1"/>
  <c r="N1016" i="1"/>
  <c r="R1014" i="1"/>
  <c r="Q1014" i="1"/>
  <c r="P1014" i="1"/>
  <c r="O1014" i="1"/>
  <c r="N1013" i="1"/>
  <c r="R1011" i="1"/>
  <c r="Q1011" i="1"/>
  <c r="P1011" i="1"/>
  <c r="O1011" i="1"/>
  <c r="N1006" i="1"/>
  <c r="N1000" i="1"/>
  <c r="N999" i="1"/>
  <c r="N998" i="1"/>
  <c r="N997" i="1"/>
  <c r="N996" i="1"/>
  <c r="R994" i="1"/>
  <c r="Q994" i="1"/>
  <c r="P994" i="1"/>
  <c r="O994" i="1"/>
  <c r="N993" i="1"/>
  <c r="N981" i="1"/>
  <c r="R979" i="1"/>
  <c r="Q979" i="1"/>
  <c r="P979" i="1"/>
  <c r="O979" i="1"/>
  <c r="N975" i="1"/>
  <c r="R973" i="1"/>
  <c r="Q973" i="1"/>
  <c r="P973" i="1"/>
  <c r="O973" i="1"/>
  <c r="N970" i="1"/>
  <c r="N969" i="1"/>
  <c r="N968" i="1"/>
  <c r="N966" i="1"/>
  <c r="N965" i="1"/>
  <c r="N955" i="1"/>
  <c r="N954" i="1"/>
  <c r="N949" i="1"/>
  <c r="N948" i="1"/>
  <c r="N945" i="1"/>
  <c r="N942" i="1"/>
  <c r="R940" i="1"/>
  <c r="Q940" i="1"/>
  <c r="P940" i="1"/>
  <c r="O940" i="1"/>
  <c r="N939" i="1"/>
  <c r="N937" i="1"/>
  <c r="Q935" i="1"/>
  <c r="N934" i="1"/>
  <c r="N933" i="1"/>
  <c r="N932" i="1"/>
  <c r="R930" i="1"/>
  <c r="Q930" i="1"/>
  <c r="P930" i="1"/>
  <c r="N927" i="1"/>
  <c r="R925" i="1"/>
  <c r="Q925" i="1"/>
  <c r="P925" i="1"/>
  <c r="O925" i="1"/>
  <c r="N923" i="1"/>
  <c r="N424" i="1"/>
  <c r="N888" i="1"/>
  <c r="R886" i="1"/>
  <c r="N879" i="1"/>
  <c r="N878" i="1"/>
  <c r="R876" i="1"/>
  <c r="Q876" i="1"/>
  <c r="P876" i="1"/>
  <c r="O876" i="1"/>
  <c r="N898" i="1"/>
  <c r="R896" i="1"/>
  <c r="Q896" i="1"/>
  <c r="P896" i="1"/>
  <c r="O896" i="1"/>
  <c r="N428" i="1"/>
  <c r="R426" i="1"/>
  <c r="Q426" i="1"/>
  <c r="P426" i="1"/>
  <c r="O426" i="1"/>
  <c r="N409" i="1"/>
  <c r="N407" i="1"/>
  <c r="N406" i="1"/>
  <c r="N405" i="1"/>
  <c r="N403" i="1"/>
  <c r="N37" i="1"/>
  <c r="N35" i="1"/>
  <c r="N27" i="1"/>
  <c r="N26" i="1"/>
  <c r="N25" i="1"/>
  <c r="N24" i="1"/>
  <c r="N23" i="1"/>
  <c r="N22" i="1"/>
  <c r="N20" i="1"/>
  <c r="N17" i="1"/>
  <c r="N15" i="1" s="1"/>
  <c r="R15" i="1"/>
  <c r="Q15" i="1"/>
  <c r="P15" i="1"/>
  <c r="O15" i="1"/>
  <c r="N14" i="1"/>
  <c r="N12" i="1" s="1"/>
  <c r="R12" i="1"/>
  <c r="Q12" i="1"/>
  <c r="P12" i="1"/>
  <c r="O12" i="1"/>
  <c r="I1016" i="1"/>
  <c r="M1014" i="1"/>
  <c r="L1014" i="1"/>
  <c r="K1014" i="1"/>
  <c r="J1014" i="1"/>
  <c r="I1013" i="1"/>
  <c r="M1011" i="1"/>
  <c r="L1011" i="1"/>
  <c r="K1011" i="1"/>
  <c r="J1011" i="1"/>
  <c r="I1006" i="1"/>
  <c r="I1000" i="1"/>
  <c r="I999" i="1"/>
  <c r="I998" i="1"/>
  <c r="I997" i="1"/>
  <c r="I996" i="1"/>
  <c r="M994" i="1"/>
  <c r="L994" i="1"/>
  <c r="K994" i="1"/>
  <c r="J994" i="1"/>
  <c r="I993" i="1"/>
  <c r="I981" i="1"/>
  <c r="M979" i="1"/>
  <c r="L979" i="1"/>
  <c r="K979" i="1"/>
  <c r="J979" i="1"/>
  <c r="I975" i="1"/>
  <c r="M973" i="1"/>
  <c r="L973" i="1"/>
  <c r="K973" i="1"/>
  <c r="J973" i="1"/>
  <c r="I969" i="1"/>
  <c r="I968" i="1"/>
  <c r="I966" i="1"/>
  <c r="I965" i="1"/>
  <c r="I955" i="1"/>
  <c r="I954" i="1"/>
  <c r="I949" i="1"/>
  <c r="I948" i="1"/>
  <c r="I945" i="1"/>
  <c r="I942" i="1"/>
  <c r="M940" i="1"/>
  <c r="L940" i="1"/>
  <c r="K940" i="1"/>
  <c r="J940" i="1"/>
  <c r="I939" i="1"/>
  <c r="I937" i="1"/>
  <c r="L935" i="1"/>
  <c r="I934" i="1"/>
  <c r="I933" i="1"/>
  <c r="I932" i="1"/>
  <c r="M930" i="1"/>
  <c r="L930" i="1"/>
  <c r="K930" i="1"/>
  <c r="I927" i="1"/>
  <c r="M925" i="1"/>
  <c r="L925" i="1"/>
  <c r="K925" i="1"/>
  <c r="J925" i="1"/>
  <c r="I923" i="1"/>
  <c r="I424" i="1"/>
  <c r="I888" i="1"/>
  <c r="M886" i="1"/>
  <c r="I879" i="1"/>
  <c r="I878" i="1"/>
  <c r="M876" i="1"/>
  <c r="L876" i="1"/>
  <c r="K876" i="1"/>
  <c r="J876" i="1"/>
  <c r="I898" i="1"/>
  <c r="M896" i="1"/>
  <c r="L896" i="1"/>
  <c r="K896" i="1"/>
  <c r="J896" i="1"/>
  <c r="I428" i="1"/>
  <c r="M426" i="1"/>
  <c r="L426" i="1"/>
  <c r="K426" i="1"/>
  <c r="J426" i="1"/>
  <c r="I409" i="1"/>
  <c r="I407" i="1"/>
  <c r="I406" i="1"/>
  <c r="I405" i="1"/>
  <c r="I404" i="1"/>
  <c r="I403" i="1"/>
  <c r="I37" i="1"/>
  <c r="I35" i="1"/>
  <c r="I27" i="1"/>
  <c r="I26" i="1"/>
  <c r="I25" i="1"/>
  <c r="I24" i="1"/>
  <c r="I23" i="1"/>
  <c r="I22" i="1"/>
  <c r="I20" i="1"/>
  <c r="I17" i="1"/>
  <c r="M15" i="1"/>
  <c r="L15" i="1"/>
  <c r="K15" i="1"/>
  <c r="J15" i="1"/>
  <c r="I14" i="1"/>
  <c r="M12" i="1"/>
  <c r="L12" i="1"/>
  <c r="K12" i="1"/>
  <c r="J12" i="1"/>
  <c r="S20" i="1" l="1"/>
  <c r="S37" i="1"/>
  <c r="S406" i="1"/>
  <c r="U426" i="1"/>
  <c r="T896" i="1"/>
  <c r="S898" i="1"/>
  <c r="S923" i="1"/>
  <c r="V935" i="1"/>
  <c r="U940" i="1"/>
  <c r="S955" i="1"/>
  <c r="S969" i="1"/>
  <c r="V979" i="1"/>
  <c r="S996" i="1"/>
  <c r="S1000" i="1"/>
  <c r="V1011" i="1"/>
  <c r="U1014" i="1"/>
  <c r="T886" i="1"/>
  <c r="T18" i="1"/>
  <c r="S36" i="1"/>
  <c r="U32" i="1"/>
  <c r="V12" i="1"/>
  <c r="U15" i="1"/>
  <c r="S25" i="1"/>
  <c r="V15" i="1"/>
  <c r="S22" i="1"/>
  <c r="S26" i="1"/>
  <c r="S403" i="1"/>
  <c r="S407" i="1"/>
  <c r="V426" i="1"/>
  <c r="U896" i="1"/>
  <c r="T876" i="1"/>
  <c r="S878" i="1"/>
  <c r="T925" i="1"/>
  <c r="S932" i="1"/>
  <c r="V940" i="1"/>
  <c r="S948" i="1"/>
  <c r="S965" i="1"/>
  <c r="T973" i="1"/>
  <c r="S975" i="1"/>
  <c r="S997" i="1"/>
  <c r="V1014" i="1"/>
  <c r="V29" i="1"/>
  <c r="T12" i="1"/>
  <c r="S27" i="1"/>
  <c r="S409" i="1"/>
  <c r="U876" i="1"/>
  <c r="S879" i="1"/>
  <c r="S888" i="1"/>
  <c r="U925" i="1"/>
  <c r="S933" i="1"/>
  <c r="S939" i="1"/>
  <c r="S949" i="1"/>
  <c r="S966" i="1"/>
  <c r="U973" i="1"/>
  <c r="T979" i="1"/>
  <c r="S998" i="1"/>
  <c r="T1011" i="1"/>
  <c r="V18" i="1"/>
  <c r="U29" i="1"/>
  <c r="S23" i="1"/>
  <c r="S404" i="1"/>
  <c r="V896" i="1"/>
  <c r="U12" i="1"/>
  <c r="T15" i="1"/>
  <c r="S24" i="1"/>
  <c r="S35" i="1"/>
  <c r="S405" i="1"/>
  <c r="T426" i="1"/>
  <c r="V876" i="1"/>
  <c r="V925" i="1"/>
  <c r="V930" i="1"/>
  <c r="S934" i="1"/>
  <c r="T940" i="1"/>
  <c r="S954" i="1"/>
  <c r="S968" i="1"/>
  <c r="V973" i="1"/>
  <c r="U979" i="1"/>
  <c r="S993" i="1"/>
  <c r="S999" i="1"/>
  <c r="U1011" i="1"/>
  <c r="T1014" i="1"/>
  <c r="S970" i="1"/>
  <c r="S28" i="1"/>
  <c r="T29" i="1"/>
  <c r="K880" i="1"/>
  <c r="U886" i="1"/>
  <c r="I422" i="1"/>
  <c r="S424" i="1"/>
  <c r="I940" i="1"/>
  <c r="S942" i="1"/>
  <c r="M991" i="1"/>
  <c r="I1014" i="1"/>
  <c r="S1016" i="1"/>
  <c r="U18" i="1"/>
  <c r="V32" i="1"/>
  <c r="I15" i="1"/>
  <c r="S17" i="1"/>
  <c r="I426" i="1"/>
  <c r="S428" i="1"/>
  <c r="L880" i="1"/>
  <c r="V886" i="1"/>
  <c r="M928" i="1"/>
  <c r="I943" i="1"/>
  <c r="S945" i="1"/>
  <c r="J991" i="1"/>
  <c r="J10" i="1" s="1"/>
  <c r="T994" i="1"/>
  <c r="S21" i="1"/>
  <c r="M880" i="1"/>
  <c r="M10" i="1" s="1"/>
  <c r="I925" i="1"/>
  <c r="S927" i="1"/>
  <c r="I935" i="1"/>
  <c r="S937" i="1"/>
  <c r="K991" i="1"/>
  <c r="U994" i="1"/>
  <c r="I1004" i="1"/>
  <c r="S1006" i="1"/>
  <c r="S34" i="1"/>
  <c r="T32" i="1"/>
  <c r="I12" i="1"/>
  <c r="S14" i="1"/>
  <c r="K928" i="1"/>
  <c r="U930" i="1"/>
  <c r="I979" i="1"/>
  <c r="S981" i="1"/>
  <c r="L991" i="1"/>
  <c r="V994" i="1"/>
  <c r="I1011" i="1"/>
  <c r="S1013" i="1"/>
  <c r="I29" i="1"/>
  <c r="S31" i="1"/>
  <c r="S38" i="1"/>
  <c r="I400" i="1"/>
  <c r="I876" i="1"/>
  <c r="I963" i="1"/>
  <c r="I32" i="1"/>
  <c r="I18" i="1"/>
  <c r="Q880" i="1"/>
  <c r="R928" i="1"/>
  <c r="P991" i="1"/>
  <c r="Q991" i="1"/>
  <c r="N1011" i="1"/>
  <c r="R880" i="1"/>
  <c r="N925" i="1"/>
  <c r="N935" i="1"/>
  <c r="R991" i="1"/>
  <c r="N1014" i="1"/>
  <c r="N426" i="1"/>
  <c r="O880" i="1"/>
  <c r="P928" i="1"/>
  <c r="P880" i="1"/>
  <c r="N422" i="1"/>
  <c r="N940" i="1"/>
  <c r="N979" i="1"/>
  <c r="N1004" i="1"/>
  <c r="Q928" i="1"/>
  <c r="L928" i="1"/>
  <c r="N400" i="1"/>
  <c r="I896" i="1"/>
  <c r="N32" i="1"/>
  <c r="N994" i="1"/>
  <c r="I973" i="1"/>
  <c r="O991" i="1"/>
  <c r="N886" i="1"/>
  <c r="N876" i="1"/>
  <c r="N963" i="1"/>
  <c r="I930" i="1"/>
  <c r="N896" i="1"/>
  <c r="N921" i="1"/>
  <c r="I994" i="1"/>
  <c r="N946" i="1"/>
  <c r="I921" i="1"/>
  <c r="N18" i="1"/>
  <c r="N930" i="1"/>
  <c r="N973" i="1"/>
  <c r="F880" i="1"/>
  <c r="G880" i="1"/>
  <c r="H886" i="1"/>
  <c r="H880" i="1" s="1"/>
  <c r="E880" i="1"/>
  <c r="D888" i="1"/>
  <c r="U991" i="1" l="1"/>
  <c r="V880" i="1"/>
  <c r="S947" i="1"/>
  <c r="T880" i="1"/>
  <c r="S946" i="1"/>
  <c r="S953" i="1"/>
  <c r="K10" i="1"/>
  <c r="S29" i="1"/>
  <c r="S15" i="1"/>
  <c r="V928" i="1"/>
  <c r="S12" i="1"/>
  <c r="S400" i="1"/>
  <c r="S1011" i="1"/>
  <c r="S979" i="1"/>
  <c r="S32" i="1"/>
  <c r="S1004" i="1"/>
  <c r="S935" i="1"/>
  <c r="T991" i="1"/>
  <c r="S426" i="1"/>
  <c r="S422" i="1"/>
  <c r="I880" i="1"/>
  <c r="S886" i="1"/>
  <c r="S963" i="1"/>
  <c r="V991" i="1"/>
  <c r="U928" i="1"/>
  <c r="S921" i="1"/>
  <c r="I928" i="1"/>
  <c r="S930" i="1"/>
  <c r="S896" i="1"/>
  <c r="I991" i="1"/>
  <c r="S994" i="1"/>
  <c r="S973" i="1"/>
  <c r="S18" i="1"/>
  <c r="S876" i="1"/>
  <c r="S925" i="1"/>
  <c r="S1014" i="1"/>
  <c r="S940" i="1"/>
  <c r="U880" i="1"/>
  <c r="P10" i="1"/>
  <c r="R10" i="1"/>
  <c r="Q10" i="1"/>
  <c r="L10" i="1"/>
  <c r="O10" i="1"/>
  <c r="T10" i="1" s="1"/>
  <c r="N991" i="1"/>
  <c r="N928" i="1"/>
  <c r="N880" i="1"/>
  <c r="N943" i="1"/>
  <c r="S943" i="1" s="1"/>
  <c r="I10" i="1" l="1"/>
  <c r="N10" i="1"/>
  <c r="S401" i="1"/>
  <c r="S929" i="1"/>
  <c r="S944" i="1"/>
  <c r="S991" i="1"/>
  <c r="V10" i="1"/>
  <c r="S928" i="1"/>
  <c r="U10" i="1"/>
  <c r="S880" i="1"/>
  <c r="S10" i="1" l="1"/>
  <c r="S881" i="1"/>
  <c r="E426" i="1"/>
  <c r="F426" i="1"/>
  <c r="G426" i="1"/>
  <c r="H426" i="1"/>
  <c r="D428" i="1"/>
  <c r="D426" i="1" s="1"/>
  <c r="D37" i="1"/>
  <c r="D35" i="1"/>
  <c r="D32" i="1" l="1"/>
  <c r="D966" i="1"/>
  <c r="D968" i="1"/>
  <c r="D969" i="1"/>
  <c r="D970" i="1"/>
  <c r="D965" i="1"/>
  <c r="E973" i="1"/>
  <c r="F973" i="1"/>
  <c r="G973" i="1"/>
  <c r="H973" i="1"/>
  <c r="D973" i="1" l="1"/>
  <c r="D963" i="1"/>
  <c r="E994" i="1"/>
  <c r="E991" i="1" s="1"/>
  <c r="F994" i="1"/>
  <c r="F991" i="1" s="1"/>
  <c r="H994" i="1"/>
  <c r="H991" i="1" s="1"/>
  <c r="G994" i="1"/>
  <c r="G991" i="1" s="1"/>
  <c r="D997" i="1"/>
  <c r="D998" i="1"/>
  <c r="D996" i="1"/>
  <c r="D994" i="1" l="1"/>
  <c r="D955" i="1" l="1"/>
  <c r="D954" i="1"/>
  <c r="D879" i="1" l="1"/>
  <c r="D878" i="1"/>
  <c r="D1000" i="1"/>
  <c r="D999" i="1"/>
  <c r="D993" i="1"/>
  <c r="G930" i="1"/>
  <c r="H930" i="1"/>
  <c r="H928" i="1" s="1"/>
  <c r="F930" i="1"/>
  <c r="F928" i="1" s="1"/>
  <c r="D934" i="1"/>
  <c r="D933" i="1"/>
  <c r="D876" i="1" l="1"/>
  <c r="D991" i="1"/>
  <c r="D930" i="1"/>
  <c r="E15" i="1" l="1"/>
  <c r="F15" i="1"/>
  <c r="G15" i="1"/>
  <c r="H15" i="1"/>
  <c r="D407" i="1" l="1"/>
  <c r="D406" i="1"/>
  <c r="D405" i="1"/>
  <c r="D404" i="1"/>
  <c r="D890" i="1" l="1"/>
  <c r="D942" i="1"/>
  <c r="D940" i="1" s="1"/>
  <c r="H940" i="1"/>
  <c r="G940" i="1"/>
  <c r="F940" i="1"/>
  <c r="E940" i="1"/>
  <c r="E925" i="1"/>
  <c r="F925" i="1"/>
  <c r="G925" i="1"/>
  <c r="H925" i="1"/>
  <c r="D1016" i="1"/>
  <c r="D1014" i="1" s="1"/>
  <c r="H1014" i="1"/>
  <c r="G1014" i="1"/>
  <c r="F1014" i="1"/>
  <c r="E1014" i="1"/>
  <c r="D1013" i="1"/>
  <c r="D1011" i="1" s="1"/>
  <c r="H1011" i="1"/>
  <c r="G1011" i="1"/>
  <c r="F1011" i="1"/>
  <c r="E1011" i="1"/>
  <c r="D880" i="1" l="1"/>
  <c r="D22" i="1"/>
  <c r="D23" i="1"/>
  <c r="D24" i="1"/>
  <c r="D25" i="1"/>
  <c r="D26" i="1"/>
  <c r="D27" i="1"/>
  <c r="D409" i="1" l="1"/>
  <c r="D400" i="1" s="1"/>
  <c r="E896" i="1" l="1"/>
  <c r="F896" i="1"/>
  <c r="G896" i="1"/>
  <c r="H896" i="1"/>
  <c r="D898" i="1"/>
  <c r="D896" i="1" l="1"/>
  <c r="G935" i="1"/>
  <c r="G928" i="1" s="1"/>
  <c r="D937" i="1"/>
  <c r="D935" i="1" s="1"/>
  <c r="D932" i="1"/>
  <c r="D981" i="1" l="1"/>
  <c r="D979" i="1" s="1"/>
  <c r="H979" i="1"/>
  <c r="G979" i="1"/>
  <c r="F979" i="1"/>
  <c r="E979" i="1"/>
  <c r="D948" i="1" l="1"/>
  <c r="D17" i="1"/>
  <c r="D15" i="1" s="1"/>
  <c r="D1006" i="1" l="1"/>
  <c r="D1004" i="1" s="1"/>
  <c r="D14" i="1" l="1"/>
  <c r="D12" i="1" s="1"/>
  <c r="H12" i="1"/>
  <c r="G12" i="1"/>
  <c r="F12" i="1"/>
  <c r="E12" i="1"/>
  <c r="E10" i="1" s="1"/>
  <c r="H876" i="1" l="1"/>
  <c r="H10" i="1" s="1"/>
  <c r="D945" i="1" l="1"/>
  <c r="D943" i="1" s="1"/>
  <c r="D975" i="1" l="1"/>
  <c r="D20" i="1" l="1"/>
  <c r="D18" i="1" s="1"/>
  <c r="F876" i="1" l="1"/>
  <c r="F10" i="1" s="1"/>
  <c r="G876" i="1"/>
  <c r="G10" i="1" l="1"/>
  <c r="D949" i="1"/>
  <c r="D939" i="1" l="1"/>
  <c r="D928" i="1" s="1"/>
  <c r="D927" i="1" l="1"/>
  <c r="D925" i="1" s="1"/>
  <c r="D10" i="1" s="1"/>
  <c r="D923" i="1"/>
  <c r="I91" i="1"/>
  <c r="S91" i="1" l="1"/>
</calcChain>
</file>

<file path=xl/sharedStrings.xml><?xml version="1.0" encoding="utf-8"?>
<sst xmlns="http://schemas.openxmlformats.org/spreadsheetml/2006/main" count="1047" uniqueCount="849">
  <si>
    <t>Հավելված N 1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</si>
  <si>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</si>
  <si>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</si>
  <si>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</si>
  <si>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</si>
  <si>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</si>
  <si>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</si>
  <si>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</si>
  <si>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</si>
  <si>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</si>
  <si>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</si>
  <si>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</si>
  <si>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</si>
  <si>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</si>
  <si>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</si>
  <si>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</si>
  <si>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</si>
  <si>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</si>
  <si>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</si>
  <si>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</si>
  <si>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</si>
  <si>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ՎԻՃԱԿԱԳՐԱԿԱՆ ԿՈՄԻՏԵ</t>
  </si>
  <si>
    <t>ՀՀ ՀԱՆՐԱՅԻՆ ԾԱՌԱՅՈՒԹՅՈՒՆՆԵՐԸ ԿԱՐԳԱՎՈՐՈՂ ՀԱՆՁՆԱԺՈՂՈՎ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</si>
  <si>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</si>
  <si>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</si>
  <si>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</si>
  <si>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</si>
  <si>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</si>
  <si>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</si>
  <si>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</si>
  <si>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</si>
  <si>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</si>
  <si>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</si>
  <si>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ՏԱՐԱԾՔԱՅԻՆ ԿԱՌԱՎԱՐՄԱՆ ԵՎ ԵՆԹԱԿԱՌՈՒՑՎԱԾՔՆԵՐԻ ՆԱԽԱՐԱՐՈՒԹՅՈՒՆ</t>
  </si>
  <si>
    <t xml:space="preserve"> Կրթական օբյեկտների շենքային պայմանների բարելավում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</si>
  <si>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</si>
  <si>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</si>
  <si>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</si>
  <si>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</si>
  <si>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 xml:space="preserve"> Անտառկառավարման պլանների կազմում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</si>
  <si>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</si>
  <si>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</si>
  <si>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ԱՇԽԱՏԱՆՔԻ ԵՎ ՍՈՑԻԱԼԱԿԱՆ ՀԱՐՑԵՐԻ ՆԱԽԱՐԱՐՈՒԹՅՈՒՆ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</si>
  <si>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</si>
  <si>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</si>
  <si>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</si>
  <si>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</si>
  <si>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</si>
  <si>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Հակակոռուպցիոն դատարանի շենքային պայմանների ապահովում</t>
  </si>
  <si>
    <t>ՀԱՆՐԱՊԵՏՈՒԹՅԱՆ ՆԱԽԱԳԱՀԻ ԱՇԽԱՏԱԿԱԶՄ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</si>
  <si>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</si>
  <si>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</si>
  <si>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ՄԱՐԴՈՒ ԻՐԱՎՈՒՆՔՆԵՐԻ ՊԱՇՏՊԱՆԻ ԱՇԽԱՏԱԿԱԶՄ</t>
  </si>
  <si>
    <t>Հայաստանի Հանրապետության 2022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</si>
  <si>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 xml:space="preserve"> ՀՀ կադաստրի կոմիտեի շենքային ապահովվածության բարելավում</t>
  </si>
  <si>
    <t>Նախագծահետազոտական փաստաթղթերի կազմման աշխատանքներ</t>
  </si>
  <si>
    <t>ՀՀ թվային տեղագրական քարտեզների երկրատեղեկատվական համակարգի միջավայրում ստեղծման աշխատանքներ</t>
  </si>
  <si>
    <t>Ռեֆերենց կայանների կառուցման, դիտարկման և կայանների ցանցի հավասարակշռման աշխատանքներ</t>
  </si>
  <si>
    <t xml:space="preserve"> ՀՀ ԲԱՐՁՐ ՏԵԽՆՈԼՈԳԻԱԿԱՆ ԱՐԴՅՈՒՆԱԲԵՐՈՒԹՅԱՆ ՆԱԽԱՐԱՐՈՒԹՅՈՒՆ</t>
  </si>
  <si>
    <t xml:space="preserve">ՀՀ տարածքում բազային և շարժական ռադիոմոնիթորինգի համակարգի ներդրում  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</si>
  <si>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</si>
  <si>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Հարկադիր կատարման ծառայության տեխնիկական հագեցվածության բարելավում</t>
  </si>
  <si>
    <t xml:space="preserve"> Հանրապետության նախագահի աշխատակազմի տեխնիկական հագեցվածության բարելավում</t>
  </si>
  <si>
    <t xml:space="preserve"> Ազգային ժողովի տեխնիկական հագեցվածության բարելավում</t>
  </si>
  <si>
    <t xml:space="preserve"> ՀՀ վարչապետի աշխատակազմի տեխնիկական հագեցվածության բարելավում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</si>
  <si>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</si>
  <si>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Սննդամթերքի անվտանգության տեսչական մարմնի տեխնիկական հագեցվածության բարելավում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</si>
  <si>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</si>
  <si>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</si>
  <si>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</si>
  <si>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</si>
  <si>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ՀՀ պետական եկամուտների կոմիտեի տեխնիկական հագեցվածության բարելավում</t>
  </si>
  <si>
    <t>ԲԱՐՁՐԱԳՈՒՅՆ ԴԱՏԱԿԱՆ ԽՈՐՀՈՒՐԴ</t>
  </si>
  <si>
    <t>Բարձրագույն դատական խորհրդի տեխնիկական հագեցվածության բարելավում</t>
  </si>
  <si>
    <t>ՀՀ ՖԻՆԱՆՍՆԵՐԻ ՆԱԽԱՐԱՐՈՒԹՅՈՒՆ</t>
  </si>
  <si>
    <t>ՀՀ ֆինանսների նախարարության տեխնիկական հագեցվածության բարելավում</t>
  </si>
  <si>
    <t>ՀՀ ԷԿՈՆՈՄԻԿԱՅԻ ՆԱԽԱՐԱՐՈՒԹՅՈՒՆ</t>
  </si>
  <si>
    <t xml:space="preserve"> ՀՀ էկոնոմիկայի նախարարության տեխնիկական հագեցվածության բարելավում</t>
  </si>
  <si>
    <t xml:space="preserve"> ՀՀ շրջակա միջավայրի նախարարության տեխնիկական կարողությունների ընդլայնում</t>
  </si>
  <si>
    <t>ԿՈՌՈՒՊՑԻԱՅԻ ԿԱՆԽԱՐԳԵԼՄԱՆ ՀԱՆՁՆԱԺՈՂՈՎ</t>
  </si>
  <si>
    <t xml:space="preserve">  Կոռուպցիայի կանխարգելման հանձնաժողովի կարողությունների զարգացում և տեխնիկական հագեցվածության ապահովում</t>
  </si>
  <si>
    <t xml:space="preserve"> ՀՀ մարդու իրավունքների պաշտպանի աշխատակազմի  տեխնիկական հագեցվածության բարելավում</t>
  </si>
  <si>
    <t xml:space="preserve"> ՀՀ պետական վերահսկողական ծառայության տեխնիկական հագեցվածության բարելավում</t>
  </si>
  <si>
    <t>ՀՀ ԼՈՌՈՒ ՄԱՐԶՊԵՏԱՐԱՆ</t>
  </si>
  <si>
    <t xml:space="preserve"> ՀՀ Լոռու մարզպետարանի տեխնիկական հագեցվածության բարելավում</t>
  </si>
  <si>
    <t>ՀՀ ՍՅՈՒՆԻՔԻ ՄԱՐԶՊԵՏԱՐԱՆ</t>
  </si>
  <si>
    <t xml:space="preserve"> ՀՀ Սյունիքի մարզպետարանի տեխնիկական հագեցվածության բարելավում</t>
  </si>
  <si>
    <t xml:space="preserve"> Հանրային ծառայությունները կարգավորող հանձնաժողովի տեխնիկական հագեցվածության բարելավում</t>
  </si>
  <si>
    <t>ՀԵՌՈՒՍՏԱՏԵՍՈՒԹՅԱՆ և ՌԱԴԻՈՅԻ ՀԱՆՁՆԱԺՈՂՈՎ</t>
  </si>
  <si>
    <t xml:space="preserve"> Հեռուստատեսության և ռադիոյի  հանձնաժողովի տեխնիկական հագեցվածության  բարելավում</t>
  </si>
  <si>
    <t xml:space="preserve"> ՀՀ վիճակագրական կոմիտեի մարդահամարի վարչության տեխնիկական հագեցվածության բարելավում</t>
  </si>
  <si>
    <t>ՀՀ Լոռու մարզի Վանաձոր քաղաքի Բանակի փողոց 8-8 և 8-1/2 հասցեներում գտնվող տարածքում միասնական արխիվային ստորաբաժանման ստեղծման աշխատանքներք.</t>
  </si>
  <si>
    <t>Ազգային անվտանգության համակարգի շենքային ապահովվածության բարելավում</t>
  </si>
  <si>
    <t xml:space="preserve">Քրեակատարողական հիմնարկներում ազատությունից զրկված հաշմանդամություն ունեցող անձանց  պահման  մատչելի պայմանների ապահովում 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</si>
  <si>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</si>
  <si>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հիմնարկների շենքային պայմանների բարելավում</t>
  </si>
  <si>
    <t>Քրեակատարողական հիմնարկների օպտիմալացում, շենքային պայմանների բավարարում</t>
  </si>
  <si>
    <t>ՀՀ Սյունիքի մարզի «Գորիսի պրոֆեսոր Խ. Երիցյանի անվան պետական գյուղատնտեսական քոլեջ» ՊՈԱԿ</t>
  </si>
  <si>
    <t>«Երևանի թեթև արդյունաբերության պետական քոլեջ» ՊՈԱԿ</t>
  </si>
  <si>
    <t>«Երևանի Կոմիտասի անվան պետական կոնսերվատորիա» ՊՈԱԿ</t>
  </si>
  <si>
    <t>«Երևանի օլիմպիական հերթափոխի պետական մարզական քոլեջ» ՊՈԱԿ</t>
  </si>
  <si>
    <t>«Հեծանվային սպորտի օլիմպիական մանկապատանեկան մարզադպրոց» ՊՈԱԿ</t>
  </si>
  <si>
    <t>Արմավիրի մարզի Ջրառատ համայնքի Սիմոն Մարտիրոսյանի անվան ծանրամարտի մարզադպրոց</t>
  </si>
  <si>
    <t>Մնջախաղի թատրոն</t>
  </si>
  <si>
    <t xml:space="preserve"> Թատերահամերգային կազմակերպությունների նյութատեխնիկական բազայի  համալրում</t>
  </si>
  <si>
    <t>«Երևանի հ. 22 հիմնական դպրոց» ՊՈԱԿ</t>
  </si>
  <si>
    <t xml:space="preserve"> Կրթական օբյեկտների շենքային ապահովվածության բարելավում</t>
  </si>
  <si>
    <t>«Մասիսի թիվ 5 ավագ դպրոց» ՊՈԱԿ</t>
  </si>
  <si>
    <t>«Ալավերդու Ստ. Շահումյանի անվան թիվ 5 ավագ դպրոց» ՊՈԱԿ</t>
  </si>
  <si>
    <t xml:space="preserve"> Հանրակրթական կրթություն իրականացնող ուսումնական հաստատությունների նոր մարզադահլիճների կառուցում</t>
  </si>
  <si>
    <t>«Երևանի Ս. Խանզադյանի անվան հ. 184 ավագ դպրոց» ՊՈԱԿ</t>
  </si>
  <si>
    <t>«Արագածի Մ. Մեխակյանի անվան միջնակարգ դպրոց» ՊՈԱԿ</t>
  </si>
  <si>
    <t>«Ջանֆիդայի Է. Դաշտոյանի անվան միջնակարգ դպրոց» ՊՈԱԿ</t>
  </si>
  <si>
    <t>Ախուրյանի ավագ դպրոց</t>
  </si>
  <si>
    <t xml:space="preserve"> Հանրակրթական կրթություն իրականացնող ուսումնական հաստատությունների մարզադահլիճների վերակառուցում</t>
  </si>
  <si>
    <t>«Երևանի Մ. Սարյանի անվան հ. 86 հիմնական դպրոց» ՊՈԱԿ</t>
  </si>
  <si>
    <t>«ՀՀ Վայոց Ձորի մարզի Շատինի միջնակարգ դպրոց» ՊՈԱԿ</t>
  </si>
  <si>
    <t>Աջափնյակ վարչական շրջանի «Սպանդարյան» կայարանի երկաթգծին հարակից 15 հեկտար մակերեսով հողատարածքում Հակակոռուպցիոն կոմիտեի գործունեության համար անհրաժեշտ շենքային պայմանների ապահովում</t>
  </si>
  <si>
    <t>Աջափնյակ վարչական շրջանի «Սպանդարյան» կայարանի երկաթգծին հարակից 15 հեկտար մակերեսով հողատարածքում Հակակոռուպցիոն դատարանի գործունեության համար անհրաժեշտ շենքային պայմանների ապահովում</t>
  </si>
  <si>
    <t xml:space="preserve">Խորքային հորերի վերականգնում </t>
  </si>
  <si>
    <t>Գետերի և հեղեղատարների տեղամասերի ամրացման և մաքրման աշխատանքներ</t>
  </si>
  <si>
    <t>Փոքր և միջին ջրամբարների կառուցում</t>
  </si>
  <si>
    <t>Ջրամբարների վերականգնման և վերազինման աշխատանքներ</t>
  </si>
  <si>
    <t>Օրվա կարգավորման ջրավազանների կառուցում և վերակառուցում</t>
  </si>
  <si>
    <t xml:space="preserve">Արփա-Սևան ջրային համակարգի տեխնիկական վիճակի բարելավում  </t>
  </si>
  <si>
    <t>Պարտադիր կապիտալ աշխատանքների ծրագրի շրջանակներում ջրամատակարարման և ջրահեռացման ենթակառուցվածքների հիմնանորոգում</t>
  </si>
  <si>
    <t xml:space="preserve">ՀՀ-ի տարածքում Վարձակալի կողմից չսպասարկվող շուրջ 560 բնակավայրերում ջրամատակարարման և ջրահեռացման համակարգերի կառուցում  </t>
  </si>
  <si>
    <t>ՀՀ ՔՆՆՉԱԿԱՆ ԿՈՄԻՏԵ</t>
  </si>
  <si>
    <t>1. Վերականգնողական աշխատանքներ</t>
  </si>
  <si>
    <t>որից`</t>
  </si>
  <si>
    <t>ՀՀ Արմավիրի մարզ</t>
  </si>
  <si>
    <t>ՀՀ Լոռու մարզ</t>
  </si>
  <si>
    <t>Ալավերդի համայնքի  Սանահինի վանական համալիրի Սբ Ամենափրկիչ եկեղեցու տանիքների նորոգում</t>
  </si>
  <si>
    <t>ՀՀ Սյունիքի մարզ</t>
  </si>
  <si>
    <t>ՀՀ Տավուշի մարզ</t>
  </si>
  <si>
    <t>Դիլիջան համայնքի Հ.Շարամբեյանի անվան ժողովրդական արհեստների թանգարանի նորոգում, ամրակայում</t>
  </si>
  <si>
    <t>Գոշ համայնքի Գոշավանքի գավթի տանիքածածկերի նորոգում</t>
  </si>
  <si>
    <t xml:space="preserve">«Արմաշ» պ/կայանի IV գոտու հեռացնող ջրատարի վերականգնում </t>
  </si>
  <si>
    <t>Սուրենավան III գոտու ջրագծի հիմնանորոգման աշխատանքներ</t>
  </si>
  <si>
    <t>ՀՀ Արագածոտնի մարզի Թալինի ջրանցքի ձախ ճյուղի հիմնանորոգման աշխատանքներ</t>
  </si>
  <si>
    <t>ՀՀ Սյունիքի մարզի Որոտանի մայր ջրանցքի Հարթաշենի դյուկերի վթարված հատվածի վերականգնման աշխատանքներ</t>
  </si>
  <si>
    <t>ՀՀ Արարատի մարզի Քաղցրաշեն պ/կայան 2 մղման խողովակի տեղադրում</t>
  </si>
  <si>
    <t xml:space="preserve">Մյասնիկյան խորքային հորի վերականգնում </t>
  </si>
  <si>
    <t xml:space="preserve">Գետաշեն համայնքի /Կոմսոմոլի այգի/ խորքային հորի վերականգնում </t>
  </si>
  <si>
    <t>Այգեձորի մայր ջրանցքին զուգահեռ հենապատի ամրացում մոտ 70մ երկարությամբ</t>
  </si>
  <si>
    <t xml:space="preserve">Գավառագետի հունի մաքրում մոտ 4200 մ </t>
  </si>
  <si>
    <t>Մեծամորի հեղեղատարի հունի մաքրում մոտ 1000 մ և ափապատնեշի բարձրացում մոտ 150 մ երկարությամբ</t>
  </si>
  <si>
    <t xml:space="preserve">ք.Ապարանի «ՔՅԱՆԴԱԼ» կոչվող սելավատարի մաքրում մոտ 2000 մ հատվածում </t>
  </si>
  <si>
    <t>Գետիկ հունի մաքրում շուրջ 1600 մ և ափերի ամրացում շուրջ 150 մ Ճամբարակ խոշորացված համայնքի Մարտունի գյուղի տարածքում</t>
  </si>
  <si>
    <t>Նարեկի սելավատարի հունի մաքրում 2945 մ և ափերի ամրացում 380 մ</t>
  </si>
  <si>
    <t xml:space="preserve">Մեծամոր գետի ափապատնեշի բարձրացում մոտ 800 մ երկարությամբ հատվածում </t>
  </si>
  <si>
    <t xml:space="preserve">Տանձուտ և Փամբակ գետերի ափապաշտպան հենապատերի վերականգնում մոտ 600 մ երկարությամբ հատվածում </t>
  </si>
  <si>
    <t xml:space="preserve">Որոտան գետի հունի մաքրում Սիսիան քաղաքի կենտրոնական կամրջից վերև և ներքև մոտ 1400 մ հատվածում </t>
  </si>
  <si>
    <t xml:space="preserve">Երվանդաշատ համայնքի Արաքս գետի ափապաշտպան արգելաթմբի բարձրացում </t>
  </si>
  <si>
    <t>ՀՀ Լոռու մարզի Մեծավանի ջրամբարի վերականգնման աշխատանքներ</t>
  </si>
  <si>
    <t>ՀՀ Շիրակի մարզի Արփի լճի ջրամբարի վերականգնման աշխատանքներ</t>
  </si>
  <si>
    <t>Մարմարիկի ջրամբարի ջրծեծ-ջրմարիչ հանգույցի վերանորոգում</t>
  </si>
  <si>
    <t xml:space="preserve">Ապարանի ջրամբարի վերանորոգում </t>
  </si>
  <si>
    <t xml:space="preserve">Ազատի ջրամբարի հատակային ջրթող կառուցվածքի ստորջրյա ջրառման հանգույցի ժամանակավոր անջրպետման աշխատանքներ </t>
  </si>
  <si>
    <t>ՀՀ Տավուշի մարզի Տավուշ ջրամբարի պատվարի վերականգնման նախագծանախահաշվային փաստաթղթերի ձեռքբերում</t>
  </si>
  <si>
    <t xml:space="preserve">«Սառնակունք գյուղի մոտ Մուխութուրյանի ջրատարի ջրաքանակի համար քլորակայանի կառուցում» </t>
  </si>
  <si>
    <t>«Ղազանչի ջրաղբյուրների սանիտարական գոտում նոր, հեղուկ քլորով շահագործվող քլորակայանի կառուցում»</t>
  </si>
  <si>
    <t xml:space="preserve">ՀՀ պետական եկամուտների կոմիտեի Գյումրի քաղաքի Թբիլիսյան խճուղի թիվ 2/14 հասցեում գտնվող արտաքին տնտեսական գործունեության կենտրոնի կառուցման աշխատանքներ </t>
  </si>
  <si>
    <t>ՀՀ Սյունիքի մարզի Ագարակ համայնքում ՀՀ պետական եկամուտների կոմիտեի ծառայողական բնակելի շենքի կառուցման աշխատանքների նախագծանախահաշվային փաստաթղթերի ձեռքբերում</t>
  </si>
  <si>
    <t>ՀՀ ՊԵԿ Գավառ քաղաքի Հերոս քաղաք Նովոռոսիյսկի թիվ 4 հասցեի վարչական շենքի վերանորոգման աշխատանքներ</t>
  </si>
  <si>
    <t>ՀՀ ՊԵԿ Արտաշատ քաղաքի Օգոստոսի 23 թիվ 83 հասցեի վարչական շենքի վերանորոգման աշխատանքներ</t>
  </si>
  <si>
    <t>ՀՀ քննչական կոմիտեի շենքային պայմանների բարելավում</t>
  </si>
  <si>
    <t>Քաղաքաշինության բնագավառում պետական ծրագրերի իրականացման ապահովում</t>
  </si>
  <si>
    <t>ՀՀԱրագածոտնի մարզի համայնքների միկրոռեգիոնալ մակարդակի` համակցված տարածական պլանավորման թվով 7 փաստաթղթերի նախագծերի մշակում (տարածքային հատակագծման նախագծի և փորձաքննությունների մասով)</t>
  </si>
  <si>
    <t>ՀՀ Գեղարքունի մարզի համայնքների (մասնակի)  համակցված տարածական պլանավորման թվով 8 փաստաթղթերի նախագծերի մշակում (տարածքային հատակագծման նախագծի և փորձաքննությունների մասով)</t>
  </si>
  <si>
    <t>ՀՀ Շիրակի մարզի համայնքների (մասնակի) համակցված տարածական պլանավորման փաստաթղթերի նախագծերի  մշակում (տարածքային հատակագծման նախագծի և փորձաքննությունների մասով)</t>
  </si>
  <si>
    <t xml:space="preserve"> ՊՊԾ տրանսպորտային միջոցներով ապահովվածության բարելավում</t>
  </si>
  <si>
    <t>ՊՊԾ տեխնիկական հագեցվածության բարելավում</t>
  </si>
  <si>
    <t xml:space="preserve"> Պետական պահպանության ծառայության շենքային ապահովվածության բարելավում</t>
  </si>
  <si>
    <t xml:space="preserve">ՀՀ կադաստրի կոմիտեի Երևան քաղաքի, Կոմիտաս 35/2 հասցեում գտնվող շենքի սանհանգույցների և մասնակի սենյակների վերանորոգման աշխատանքներ  </t>
  </si>
  <si>
    <t>Բարձրագույն դատական խորհրդի տրանսպորտային միջոցներով ապահովվածության բարելավում</t>
  </si>
  <si>
    <t>ՀՀ ԱՐՏԱՔԻՆ ԳՈՐԾԵՐԻ ՆԱԽԱՐԱՐՈՒԹՅՈՒՆ</t>
  </si>
  <si>
    <t xml:space="preserve"> Արտաքին գործերի նախարարության կարողությունների զարգացում և տեխնիկական հագեցվածության ապահովում</t>
  </si>
  <si>
    <t>Ներդրումներ 2022 թվականին ՀՀ-ում կենսաբանության միջազգային օլիմպիադայի անցկացման նպատակով</t>
  </si>
  <si>
    <t>Սպիտակ քաղաքում նոր բնակելի շենքի կառուցման աշխատանքներ</t>
  </si>
  <si>
    <t>Պետական սեփականություն հանդիսացող կառույցում ընդհանուր նշանակության մեքենաների, սարքավորումների բարելավում</t>
  </si>
  <si>
    <t xml:space="preserve">ՀՀ առողջապահական և աշխատանքի տեսչական մարմնի շենքային պայմանների բարելավում </t>
  </si>
  <si>
    <t>ՀՀ սահմանադրական դատարանի պահուստային ֆոնդ</t>
  </si>
  <si>
    <t>ՀՀ ՍԱՀՄԱՆԱԴՐԱԿԱՆ ԴԱՏԱՐԱՆ</t>
  </si>
  <si>
    <t>Բարձրագույն դատական խորհրդի և ՀՀ դատարանների պահուստային ֆոնդի ձևավորում և կառավարում</t>
  </si>
  <si>
    <t>Բարձրագույն դատական խորհրդի և դատարանների շենքային պայմանների  բարելավում</t>
  </si>
  <si>
    <t>ՀՀ ԴԱՏԱԽԱԶՈՒԹՅՈՒՆ</t>
  </si>
  <si>
    <t>ՀՀ դատախազության պահուստային ֆոնդ</t>
  </si>
  <si>
    <t>Դատախազության տեխնիկական հագեցվածության բարելավում</t>
  </si>
  <si>
    <t>ՀՀ ԱՌՈՂՋԱՊԱՀՈՒԹՅԱՆ ՆԱԽԱՐԱՐՈՒԹՅՈՒՆ</t>
  </si>
  <si>
    <t>Առողջապահական կազմակերպությունների կառուցում, վերակառուցում</t>
  </si>
  <si>
    <t>ՀՀ էկոնոմիկայի նախարարության շենքային պայմանների բարելավում</t>
  </si>
  <si>
    <t>Սևանա լճի և ջրհավաք ավազանի բնապահպանական  ուսումնասիրության իրականացման դրամաշնորհային ծրագրի շրջանակներում սարքավորումների ձեռքբերում</t>
  </si>
  <si>
    <t>18 տարեկանից բարձր տարիքի անձանց համայնքային փոքր տներում խնամքի կազմակերպման համար անշարժ գույքի ձեռքբերում</t>
  </si>
  <si>
    <t>18 տարեկանից բարձր տարիքի անձանց խնամքի համայնքային փոքր տների շենքային պայմանների բարելավում</t>
  </si>
  <si>
    <t>Հաշմանդամ անձի ֆունկցիոնալության գնահատման էլեկտրոնային ռեսուրսների ապահովում</t>
  </si>
  <si>
    <t>Կյանքի դժվարին իրավիճակում հայտնված երեխաների ժամանակավոր խնամքի աջակցության կենտրոնի շենքային պայմանների բարելավում</t>
  </si>
  <si>
    <t>ՀՀ ԱՐՏԱԿԱՐԳ ԻՐԱՎԻՃԱԿՆԵՐԻ ՆԱԽԱՐԱՐՈՒԹՅՈՒՆ</t>
  </si>
  <si>
    <t xml:space="preserve">N 2 ՀՓՋ, ք. Երևան, Սևանի փ. 124, շենքի 558,9 քմ մակերեսով 1-ին և 2-րդ հարկերի ներքին հարդարման աշխատանքներ, դուռլուսամուտների փոխարինում, ջեռուցման համակարգի իրականացում, տանիքի նորոգում </t>
  </si>
  <si>
    <t>N 9 ՀՓՋ, ք. Երևան, Գյուլիքևխյան 12/2, շենքի 730 քմ մակերեսով ներքին հարդարման աշխատանքներ, դուռ-լուսամուտների փոխարինում, ջեռուցման համակարգի իրականացում տանիքի նորոգում</t>
  </si>
  <si>
    <t xml:space="preserve">N 11 ՀՓՋ, ք. Երևան, Աճառյան 44/5, շենքի 475 քմ մակերեսով ներքին հարդարման աշխատանքներ, դուռ-լուսամուտների փոխարինում, ջեռուցման համակարգի իրականացում </t>
  </si>
  <si>
    <t>Մարտունու ՀՓՋ Գեղարքունիքի մարզ, ք. Մարտունի, Սայաթ-Նովա փ. 40 շենքի 235,3 քմ մակերեսով ներքին հարդարման աշխատանքներ, դուռ-լուսամուտների փոխարինում, ջեռուցման
համակարգի իրականացում, տանիքի նորոգում շենքի
հիմնանորոգում</t>
  </si>
  <si>
    <t>Տավուշի ՀՓՋ, Տավուշի մարզ, ք. Իջևան, Արցախյան փ. 4 հասցեում 392 քմ մակերեսով ավտոկայանատեղիի կառուցում, ներքին
հարդարման աշխատանքներ, դուռ-լուսամուտների փոխարինում, ջեռուցման համակարգի իրականացում, տանիքի նորոգում</t>
  </si>
  <si>
    <t>Ամասիայի ՀՓՋ, Շիրակի մարզ, գ. Ամասիա 2-րդ փ. 4 տ. - շենքի 285քմ մակերեսի ներքին հարդարման աշխատանքներ, դուռլուսամուտների փոխարինում, ջեռուցման համակարգի իրականացում, տանիքի նորոգում</t>
  </si>
  <si>
    <t>Գետարգել գուղի Ռուս-հայկական մարդասիրական արձագանքման կենտրոնի տարածքում Անգարի կառուցման աշխատանքների նախագծանախահաշվային փաստաթղթերի վերամշակում</t>
  </si>
  <si>
    <t>Փրկարարական ծառայության տեխնիկական հագեցվածության բարելավում</t>
  </si>
  <si>
    <t>ԱԻՆ փրկարար ծառայության շենքի ապահովվածության և պայմանների բարելավում</t>
  </si>
  <si>
    <t>Արտակարգ իրավիճակների նախարարության տեխնիկական հագեցվածության բարելավում</t>
  </si>
  <si>
    <t>ՀՀ արտակարգ իրավիճակների նախարարության շենքային պայմանների բարելավում</t>
  </si>
  <si>
    <t>ՀՀ ՀԱՇՎԵՔՆՆԻՉ ՊԱԼԱՏ</t>
  </si>
  <si>
    <t>Հաշվեքննիչ պալատի պահուստային ֆոնդ</t>
  </si>
  <si>
    <t>Պետական վերահսկողական ծառայության շենքային պայմանների ապահովում</t>
  </si>
  <si>
    <t>ՀԱԿԱԿՈՌՈՒՊՑԻՈՆ ԿՈՄԻՏԵ</t>
  </si>
  <si>
    <t>ՀՀ հակակոռուպցիոն կոմիտեի պահուստային ֆոնդ</t>
  </si>
  <si>
    <t>ՀՀ արդարադատության նախարարության կարողությունների զարգացում և տեխնիկական հագեցվածության ապահովում</t>
  </si>
  <si>
    <t>Երևանի Աջափնյակ համայնքի Արա Սարգսյան 5/1 հասցեում տեղակայված շենքի վերակառուցման նախագծանախահաշվային փաստաթղթերի մշակման խորհրդատվական ծառայությունների մատուցում</t>
  </si>
  <si>
    <t>Էլեկտրոնային ռեսուրսների ստեղծման կամ արդիականացման նախագծերի ապահովում</t>
  </si>
  <si>
    <t>Հակակոռուպցիոն կոմիտեի տրանսպորտային սարքավորումներով հագեցվածության ապահովում</t>
  </si>
  <si>
    <t>Հակակոռուպցիոն կոմիտեի տեխնիկական հագեցվածության ապահովում</t>
  </si>
  <si>
    <t>ՀՀ տարածքի օդալուսանկարահանման, օրթոֆոտոհատակագծերի և թվային բարձունքային մոդելի ստեղծման աշխատանքներ</t>
  </si>
  <si>
    <t>Երևան քաղաք</t>
  </si>
  <si>
    <t xml:space="preserve">«Հոգեկան առողջության պահպանման ազգային կենտրոն» ՓԲԸ </t>
  </si>
  <si>
    <t xml:space="preserve">«Ինֆեկցիոն հիվանդությունների ազգային կենտրոն» ՓԲԸ </t>
  </si>
  <si>
    <t>ՀՀ Արագածոտնի մարզ</t>
  </si>
  <si>
    <t>«Թալինի բժշկական կենտրոն» ՓԲԸ</t>
  </si>
  <si>
    <t>«Ծաղկահովտի առողջության կենտրոն»</t>
  </si>
  <si>
    <t>«Աշտարակի բժշկական կենտրոն» ՓԲԸ</t>
  </si>
  <si>
    <t>ՀՀ Արարատի մարզ</t>
  </si>
  <si>
    <t>«Մասիսի բժշկական կենտրոն» ՓԲԸ</t>
  </si>
  <si>
    <t>«Վաղարշապատի բժշկական կենտրոն» ՓԲԸ</t>
  </si>
  <si>
    <t>ՀՀ Կոտայքի մարզ</t>
  </si>
  <si>
    <t>«Նաիրի բժշկական կենտրոն» ՓԲԸ</t>
  </si>
  <si>
    <t>ՀՀ Շիրակի մարզ</t>
  </si>
  <si>
    <t>«Արթիկի բժշկական կենտրոն» ՓԲԸ</t>
  </si>
  <si>
    <t>«Տաշիրի բժշկական կենտրոն» ՓԲԸ</t>
  </si>
  <si>
    <t>«Սիսիանի բժշկական կենտրոն» ՓԲԸ</t>
  </si>
  <si>
    <t>Երևան քաղաքի Կոմիտասի պողոտա 35 հասցեում գտնվող վարչական շենքի կիսանկուղային հարկի
տարածքում ճաշարանի վերակառուցման աշխատանքներ</t>
  </si>
  <si>
    <t>ՀՀ ՊԵԿ-ի Արևելյան մաքսատուն-վարչության
Բագրատաշենի մաքսային կետ-բաժնի
մաքսային հսկողության և ձևակերպում-
ների, մաքսային հսկողության և սպա-
սարկման բարելավման, տրանսպորտային
միջոցների հոսքերի արդյունավետ կազմա-
կերպման նպատակով վերակառուցման
աշխատանքների նախագծանախա-
հաշվային փաստաթղթերի ձեռքբերում</t>
  </si>
  <si>
    <t>ք. Երևան, Արարատյան 90 հասցեում գտնվող շինության վերանորոգման աշխատանքներ</t>
  </si>
  <si>
    <t>Երևան քաղաքի Դեղատան 3 հասցեում գտնվող
վարչական շենքի վերանորոգման աշխատանքներ</t>
  </si>
  <si>
    <t>ՀՀ ՊԵԿ Երևան քաղաքի Ծովակալ Իսակովի թիվ 10 հասցեի վարչական շենքի վերանորոգման
աշխատանքներ</t>
  </si>
  <si>
    <t>Արևմտյան մաքսատուն-վարչության Երևան քաղաքի Երևան 42 հասցեում գտնվող վարչական շենքի տարածքի վերանորոգման աշխատանքներ</t>
  </si>
  <si>
    <t>ՀՀ ՊԵԿ-ի Հարավային մաքսատուն-
վարչության տարածքում վերանորոգման
աշխատանքներ</t>
  </si>
  <si>
    <t>ՀՀ Սյունիքի մարզ, Մեղրի համայնք, գյուղ Կարճևան, հողամաս</t>
  </si>
  <si>
    <t>Արմավիրի մարզի Գեղակերտ համայնքի տան վերանորոգման աշխատանքներ</t>
  </si>
  <si>
    <t>ՀՀ  Աշխատանքի և սոցիալական հարցերի նախարարության միասնական սոցիալական ծառայության կարիքների համար ոչ ֆինանսական այլ ակտիվների ձեռքբերում</t>
  </si>
  <si>
    <t>ՀՀ աշխատանքի և սոցիալական հարցերի նախարարության կարողությունների զարգացում և տեխնիկական հագեցվածության ապահովում</t>
  </si>
  <si>
    <t>N 7 ՀՓՋ, ք. Երևան, Հասրաթյան փ. 9/1, շենքի 632.65 քմ մակերեսով ներքին հարդարման աշխատանքներ, դուռլուսամուտների ոխարինում, ջեռուցման համակարգի իրականացում, տանիքի նորոգում</t>
  </si>
  <si>
    <t xml:space="preserve">Սևանի ՀՓՋ, Գեղարքունիքի մարզ, ք. Սևան, Նաիրյան 142 շենքի 627,51 քմ մակերեսով ներքին հարդարման աշխատանքներ, դուռ-լուսամուտների փոխարինում, ջեռուցման համակարգի իրականացում, տանիքի նորոգում
</t>
  </si>
  <si>
    <t xml:space="preserve">Վանաձորի N 1 ՀՓՋ, Լոռու մարզ, ք. Վանաձոր, Երևանյան խճուղի 62, շենքի 1200 քմ մակերեսի ներքին հարդարման աշխատանքներ, դուռ-լուսամուտների փոխարինում, ջեռուցման համակարգի իրականացում, տանիքի նորոգում </t>
  </si>
  <si>
    <t xml:space="preserve">Եղվարդի ՀՓՋ-ի ավտոկայանատեղի,Կոտայքի մարզ, ք. Եղվարդ -շենքի 223,50 քմ մակերեսի ներքին հարդարման աշխատանքներ, դուռ-լուսամուտների փոխարինում, ջեռուցման համակարգի իրականացում, տանիքի նորոգում </t>
  </si>
  <si>
    <t>Ջրամատակարարման խողովակաշարերի և գազի մատակարարման մագիստրալային խողովակների կառուցման հետ կապված աշխատանքներ</t>
  </si>
  <si>
    <t>ԱԻՆ վարչական համալիրի երկրորդ մասնաշենքի տանիքի կապիտալ վերանորոգում (ք. Երևան, Դավթաշեն 4, Ա. Միկոյան 109/8)</t>
  </si>
  <si>
    <t>Ոռոգման համակարգերի հիմնանորոգում</t>
  </si>
  <si>
    <t>ՀՀ Կոտայքի մարզի Գեղարդալճի ինքնահոս համակարգի չավարտված աշխատանքների իրականացում</t>
  </si>
  <si>
    <t>ՀՀ Արարատի մարզի Արաքսավան և Բուրաստան համայնքների Արաքս գետի N16-ից մինչև N14 սահմանների միջակայքում Արաքս գետի նախկին հունի վերականգնման և N16 սահմանանշանի մոտակայքում Արաքս գետի հայկական կողմի մոտ 130մ երկարությամբ և 8մ խորությամբ ողողված պատնեշի վերականգնման աշխատանքների նախագծանախահաշվային փաստաթղթերի ձեռքբերում</t>
  </si>
  <si>
    <t>Ոռոգման համակարգերի կառուցում</t>
  </si>
  <si>
    <t>Երևան քաղաքի Բուսաբանական այգու ոռոգման ցանցի կառուցում` Սարկավագի փողոցի ջրագծից մինչև Բուսաբանական այգու պարսպի հատված</t>
  </si>
  <si>
    <t>Արփա-Սևան ջրային համակարգի վերազինում</t>
  </si>
  <si>
    <t>այդ թվում ըստ կատարողների`</t>
  </si>
  <si>
    <t>ՀՀ կառավարություն</t>
  </si>
  <si>
    <t>ՀՀ տարածքային կառավարման և ենթակառուցվածքների նախարարություն</t>
  </si>
  <si>
    <t xml:space="preserve">1. Միջպետական նշանակության ավտոճանապարհներ </t>
  </si>
  <si>
    <t>Մ-1, Երևան-Գյումրի-Վրաստանի սահման</t>
  </si>
  <si>
    <t>կմ152+600-կմ156+700 հատվածի հիմնանորոգում</t>
  </si>
  <si>
    <t>կմ113+200-կմ118+900 հատվածի հիմնանորոգում</t>
  </si>
  <si>
    <t xml:space="preserve">կմ130+100-կմ134+500 հատվածի հիմնանորոգում </t>
  </si>
  <si>
    <t>կմ141+500կմ 143+300 հատվածի հիմնանորոգում</t>
  </si>
  <si>
    <t xml:space="preserve">կմ 160+200-կմ 171+700 հատվածի հիմնանորոգում </t>
  </si>
  <si>
    <t xml:space="preserve">Մ-2, Երևան-Երասխ-Գորիս-Մեղրի-Իրանի սահման </t>
  </si>
  <si>
    <t>կմ53+150-կմ65+350 հատվածի հիմնանորոգում</t>
  </si>
  <si>
    <t>կմ98+000-կմ101+400 հատվածի հիմնանորոգում</t>
  </si>
  <si>
    <t>կմ108+400-կմ126+100 հատվածի հիմնանորոգում</t>
  </si>
  <si>
    <t>կմ150+700-կմ167+600 հատվածի հիմնանորոգում</t>
  </si>
  <si>
    <t>կմ196+000-կմ202+200 հատվածի հիմնանորոգում</t>
  </si>
  <si>
    <t>կմ329+820-կմ338+100 հատվածի հիմնանորոգում</t>
  </si>
  <si>
    <t>Մ-2, (Սյունիք) /Մ-2/ - Աղվանի- Տաթև - /Մ-2/ միջպետական նշանակության ավտոճանապարհի Վերին Խոտանանը շրջանցող ճանապարհահատվածի կառուցում (I փուլ)</t>
  </si>
  <si>
    <t>Մ-2, (Սյունիք) /Մ-2/ - Աղվանի- Տաթև - /Մ-2/ միջպետական նշանակության ավտոճանապարհի Վերին Խոտանանը շրջանցող ճանապարհահատվածի կառուցում (II փուլ)</t>
  </si>
  <si>
    <t xml:space="preserve">կմ 77+350 -կմ 82+000 հատվածի հիմնանորոգում  </t>
  </si>
  <si>
    <t xml:space="preserve">կմ91+600 - կմ98+000 հատվածի հիմնանորոգում  </t>
  </si>
  <si>
    <t xml:space="preserve">կմ131+500 - կմ139+000 հատվածի հիմնանորոգում  </t>
  </si>
  <si>
    <t xml:space="preserve">կմ142+000 - կմ150+700 հատվածի հիմնանորոգում  </t>
  </si>
  <si>
    <t xml:space="preserve">կմ182+532- կմ190+000 հատվածի հիմնանորոգում  </t>
  </si>
  <si>
    <t xml:space="preserve">կմ235+000 - կմ248+000 հատվածի հիմնանորոգում  </t>
  </si>
  <si>
    <t xml:space="preserve">կմ297+800 - կմ311+250 հատվածի հիմնանորոգում   </t>
  </si>
  <si>
    <t>կմ 245-կմ 252 հատվածը  շրջանցող ճանապարհահատվածի կռուցում</t>
  </si>
  <si>
    <t>Որոտան-Բարձրավան-Շուռնուխ հատվածը շրջանցող ճանապարհահատվածի վերակառուցում</t>
  </si>
  <si>
    <t>Մ- 3, Թուրքիայի սահման-Մարգարա-Վանաձոր-Տաշիր-Վրաստանի սահման</t>
  </si>
  <si>
    <t>կմ97+020 - կմ 104+700 հատվածի հիմնանորոգում</t>
  </si>
  <si>
    <t>կմ130+400-կմ135+354 հատվածի հիմնանորոգում</t>
  </si>
  <si>
    <t>կմ35+535-կմ39-500 հատվածի հիմնանորոգում</t>
  </si>
  <si>
    <t>կմ72+000-կմ75+500 հատվածի հիմնանորոգում</t>
  </si>
  <si>
    <t>կմ154+000-կմ176+900 հատվածի հիմնանորոգում</t>
  </si>
  <si>
    <t>կմ2+000 - կմ 10+500 հատվածի հիմնանորոգու</t>
  </si>
  <si>
    <t>կմ39+500 - կմ 45+300 հատվածի հիմնանորոգում</t>
  </si>
  <si>
    <t>Մ-4, Երևան-Սևան-Իջևան-Ադրբեջանի սահման</t>
  </si>
  <si>
    <t>կմ83+200-կմ91+176 հատվածի հիմնանորոգում և ոլորանների պարամետրերի բարելավում</t>
  </si>
  <si>
    <t>կմ67+500 փլուզված հատվածի հիմնանորոգում</t>
  </si>
  <si>
    <t>կմ91+176-կմ96+176 հատվածի հիմնանորոգում և ոլորանների պարամետրերի բարելավում</t>
  </si>
  <si>
    <t>կմ 144+240-կմ148+200 հատվածի հիմնանորոգում</t>
  </si>
  <si>
    <t>Մ-5, Երևան-Արմավիր-Թուրքիայի սահման միպետական նշանակության ավտոճանապարհ</t>
  </si>
  <si>
    <t xml:space="preserve">կմ17+530-կմ18+200, կմ25+593-կմ29+385 և կմ32+675-կմ33+833 աջակողմյան և ձախակողմյան հատվածների հիմնանորոգման </t>
  </si>
  <si>
    <t xml:space="preserve">կմ58+400-կմ63+100 հատվածի հիմնանորոգման </t>
  </si>
  <si>
    <t>կմ48+000 - կմ52+000 հատվածի հիմնանորոգում</t>
  </si>
  <si>
    <t>Մ-8, Վանաձոր (Մ-6 հատման կետ)-Դիլիջան</t>
  </si>
  <si>
    <t>կմ40+000-կմ42+000 հատվածի հիմնանորոգում</t>
  </si>
  <si>
    <t xml:space="preserve"> Մ-9, Մ-1-Թալին-Քարակերտ-Թուրքիայի սահման</t>
  </si>
  <si>
    <t>կմ1+300-կմ3+600 հատվածի հիմնանորոգում</t>
  </si>
  <si>
    <t xml:space="preserve"> Մ-10, Սևան-Մարտունի-Գետափ </t>
  </si>
  <si>
    <t xml:space="preserve"> կմ57+450-կմ59+450 հատվածի հիմնանորոգում </t>
  </si>
  <si>
    <t xml:space="preserve"> կմ66+000-կմ80+000 հատվածի հիմնանորոգում </t>
  </si>
  <si>
    <t xml:space="preserve"> կմ122+000-կմ124+000 հատվածում հողային պաստառի փլուզված հատվածների, պաշտպանիչ հենապատերի և կառուցվածքների վերականգնում</t>
  </si>
  <si>
    <t xml:space="preserve">կմ 1+000 - կմ 17+000 հատվածի հիմնանորոգում(բացառությամբ կմ 2+800-կմ 5+300,կմ 5+750-կմ 5+886 և կմ 6+850-կմ 7+034 հատվածների) </t>
  </si>
  <si>
    <t xml:space="preserve"> կմ80+000 - կմ94+000 հատվածի հիմնանորոգում</t>
  </si>
  <si>
    <t>Մ-11, Մարտունի - Վարդենիս - ԼՂՀ սահմ</t>
  </si>
  <si>
    <t>կմ0+000-կմ5+900 հատվածի հիմնանորոգում</t>
  </si>
  <si>
    <t>կմ10+800-կմ25+500 հատվածի հիմնանորոգում</t>
  </si>
  <si>
    <t>կմ25+500-կմ 29+200 հատվածի հիմնանորոգում</t>
  </si>
  <si>
    <t>կմ 29+200-38+200 հատվածի հիմնանորոգում</t>
  </si>
  <si>
    <t xml:space="preserve"> Մ-12,/Մ-2/-(Գորիս)-Հայաստանի Հանրապետության սահման միջպետական նշանակության  ավտոճանապարհի  կմ0+000-կմ4+000 հատվածի հիմնանորոգում</t>
  </si>
  <si>
    <t xml:space="preserve"> Մ-13,/Մ-2/-Անգեղակոթ-Նախիջևանի սահման</t>
  </si>
  <si>
    <t>կմ0+000-կմ8+000 հատվածի հիմնանորոգում</t>
  </si>
  <si>
    <t xml:space="preserve"> Մ-14, Մ-4-Շորժա-Վարդենիս</t>
  </si>
  <si>
    <t xml:space="preserve">կմ32+888-կմ33+628 և կմ52+970-կմ53+350 փլուզված հատվածներում գաբիոնային հենապատերի կառուցում </t>
  </si>
  <si>
    <t>կմ39+400 - կմ60+300 հատվածի հիմնանորոգում</t>
  </si>
  <si>
    <t>Մ-15,/Մ-4/(Վերին Պտղնի) -Մասիսի տրանսպորտային  հանգույց (Երևանի շրջանց)միջպետական նշանակության ավտոճանապարհ</t>
  </si>
  <si>
    <t>կմ0+000-կմ8+200 հատվածի հիմնանորոգում</t>
  </si>
  <si>
    <t>կմ19+900-կմ29+400հատվածի հիմնանորոգում</t>
  </si>
  <si>
    <t>Մ-16, Մ-4-Ոսկեպար-Նոյեմբերյան-Մ-6</t>
  </si>
  <si>
    <t>կմ0+070-կմ-կմ7+000 հատվածի հիմնանորոգում</t>
  </si>
  <si>
    <t>կմ21+940-կմ24+700 հատվածի հիմնանորոգում</t>
  </si>
  <si>
    <t>Մ-17, /Մ-2/(Կապան)-Ծավ-/Մ-2/ ավտոճանապարհի Կապան-Ճակատեն շրջանցիկ ճանապարհահատվածի կառուցում</t>
  </si>
  <si>
    <t>Հ-2, /Հ-1/ Աբովյան- Արզնի-/Հ-6/ (Նոր Գեղի) հանրապետական նշանակության ավտոճանապարհի կմ0+000-կմ1+400 հատվածի հիմնանորոգում</t>
  </si>
  <si>
    <t>Հ-3, Երևան (Ջրաշխարհ, Մ-4-ի հետ հատման տեղ) - Գառնի -Գեղարդի վանք հանրապետական նշանակության ավտոճանապարհի կմ27+500-կմ33+500 հատվածի հիմնանորոգում</t>
  </si>
  <si>
    <t>Հ-3, Երևան (Ջրաշխարհ, Մ-4-ի հետ հատման տեղ) - Գառնի -Գեղարդի վանք հանրապետական նշանակության ավտոճանապարհի կմ33+500-կմ38+100 հատվածի հիմնանորոգում</t>
  </si>
  <si>
    <t>Հ-4, Երևան - եղվարդ - Արագյուղ - Հարթավան - /Մ-3/ հանրապետական նշանակության ավտոճանապարհի կմ0+000 - կմ15+600 հատվածի հիմնանորոգում</t>
  </si>
  <si>
    <t>Հ-5, /Հ-6/-Նոր Գեղի-Արգել-Արզական-Հրազդան հանրապետական նշանակության ավտոճանապարհի կմ 0+000 - կմ10+000  հատվածի հիմնանորոգում</t>
  </si>
  <si>
    <t>Հ-5, /Հ-6/-Նոր Գեղի-Արգել-Արզական-Հրազդան հանրապետական նշանակության ավտոճանապարհի կմ 25+200 - կմ36+000  հատվածի հիմնանորոգում</t>
  </si>
  <si>
    <t>Հ-7, /Հ-5/ - Կարենիս - Չարենցավան /Հ-1/- Ֆանտան հանրապետական նշանակության ավտոճանապարհի կմ7+580-կմ10+200 հատվածի հիմնանորոգում</t>
  </si>
  <si>
    <t xml:space="preserve">Հ8, Երևան-Արտաշատ-Այգեվան կմ 33+500 - կմ 42+600 հատվածի հիմնանորոգում </t>
  </si>
  <si>
    <t xml:space="preserve">Հ-8, /Մ-2/-Այնթապ-Մխչյան-Արտաշատ-Այգեւան-/Մ-2/ հանրապետական նշանակության ավտոճանապարհի կմ21+200-կմ 26+400 եւ կմ30+000-կմ33+500 հատվածների հիմնանորոգում </t>
  </si>
  <si>
    <t>Հ-12, Մասիսի տրանսպորտային հանգույց - Մասիս - Ռանչպար - Արաքս - Ջրառատ - /Մ-3/ հանրապետական նշանակության ավտոճանապարհի կմ0+000 - կմ9+500 հատվածի հիմնանորոգում</t>
  </si>
  <si>
    <t>Հ-13, /Մ-3/ (Վաղարշապատ) - Մասիս - /Մ-2/ հանրապետական նշանակության ավտոճանապարհի կմ10+300 - կմ15+300 հատվածի հիմնանորոգում</t>
  </si>
  <si>
    <t>Հ-15, /Մ-5/-(Նորապատ) -Արգավանդ-/Մ-3/ (Վարդանաշեն) հանրապետական նշանակության ավտոճանապարհի կմ0+000 - կմ3+000 հատվածի հիմնանորոգում</t>
  </si>
  <si>
    <t>Հ-21, /Հ-75/ - Հոռոմ-Արթիկ-Ալագյազ հանրապետական նշանակության ավտոճանապարհի կմ19+000 - կմ23+900 հատվածի հիմնանորոգում</t>
  </si>
  <si>
    <t>Հ-22, /Մ-6/-Դսեղ-/Հ-70/ հանրապետական նշանակության ավտոճանապարհի կմ 8+000-կմ 13+900 հատվածի հիմնանորոգում</t>
  </si>
  <si>
    <t>Հ-26, /Մ-4/ Ենեքովան-Կարմիրգյուղ (գյուղատեղի)-/Մ-16/ հանրապետական նշանակության ավտոճանապարհի կմ 0+000-կմ 7+000 հատվածի հիմնանորոգում</t>
  </si>
  <si>
    <t>Հ-28,/Հ-55/-Ջրառատ-Մեղրաձոր-Հանքավան հանրապետական նշանակության  ավտոճանապարհի կմ17+000-կմ19+000հատվածի հիմնանորոգում</t>
  </si>
  <si>
    <t xml:space="preserve">Հ-30,Մոտեցում Գոշավանքին  հանրապետական նշանակության ավտոճանապարհի կմ 0+000-կմ 3+900 հատվածի հիմնանորոգում  </t>
  </si>
  <si>
    <t xml:space="preserve">Հ-30, /Մ-4/ - Ճամբարակ - /Մ-14/ հանրապետական նշանակության ավտոճանապարհի կմ 0+000-կմ 11+000 հատվածի հիմնանորոգում  </t>
  </si>
  <si>
    <t>Հ-30, Մոտեցում Արծվաշենին հանրապետական նշանակության ավտոճանապարհի կմ 0+000-կմ 5+000 հատվածի  հիմնանորոգում</t>
  </si>
  <si>
    <t xml:space="preserve"> Հ-30, Մ4-Ճամբարակ-Դրախտիկ-Մ14 հանրապետական նշանակության ավտոճանապարհի կմ 32+000-կմ 35+000 հատվածի  հիմնանորոգում</t>
  </si>
  <si>
    <t>Հ-32, /Մ-1/ (Գյումրի) - Կապս - Ամասիա - /Մ-1/ հանրապետական նշանակության ավտոճանապարհի կմ 20+900-կմ 22+700 և կմ 23+000-կմ 31+200 հատվածների հիմնանորոգում</t>
  </si>
  <si>
    <t>Հ-33, /Մ-3/-Ստեփանավան-Ագարակ-Յաղդան/Հ-35/ ավտոճանապարհի կմ0+000-կմ8+100 հատվածի հիմնանորոգում</t>
  </si>
  <si>
    <t>Հ-36, /Մ-4/-Իջևան-Նավուր-Բերդ-Այգեպար կմ5+600-կմ 42+100 հատվածի հիմնանորոգում</t>
  </si>
  <si>
    <t>Հ-37,Մ-4 -Այգեհովիտ-Վազաշեն - Պառավաքար-Այգեպար հանրապետական նշանակության ավտոճանապարհի կմ 0+000-կմ 17+300 հատվածի  հիմնանորոգում</t>
  </si>
  <si>
    <t>Հ-38, /Հ-30/-Թթուջուր-Նավուր-/Հ-36/ հանրապետական նշանակության ավտոճանապարհի կմ0+000-կմ15+100 հատվածի հիմնանորոգում</t>
  </si>
  <si>
    <t>Հ-39, /Մ-10/-Գավառ-/Մ-10/ հանրապետական նշանակության ավտոճանապարհի կմ 4+300-կմ 7+700  հատվածի հիմնանորոգում</t>
  </si>
  <si>
    <t>Հ-40 /Մ-2/ Խաչիկ-Գնիշիկ- Եղեգնաձորհանրապետական նշանակության ավտոճանապարհի կմ58+000-կմ70+100 հատվածի հիմնանորոգում</t>
  </si>
  <si>
    <t>Հ-41, /Մ-2/ - Նորավանքի պատմական հուշարձան հանրապետական նշանակության ավտոճանապարհի կմ0+000-կմ8+100 հատվածի հիմնանորոգում</t>
  </si>
  <si>
    <t>Հ-43, /Մ-2/-Գնդեվազ-Ջերմուկ-Արցախի Հանրապետության սահման կմ 0+000-ում ջրահեռացման ապահովման, կմ0+900-ում փլուզված հատվածի և կմ18+250-կմ18+360 նստվածքային հատվածի վերականգնում</t>
  </si>
  <si>
    <t>Հ-45, /Մ-2/-Շաքի-Սիսան-Դաստակերտ-Ցողունի հանրապետական նշանակության ավտոճանապարհի կմ14+590-կմ25+900 հատվածի հիմնանորոգու</t>
  </si>
  <si>
    <t>Հ-46, Մ2-Տաթև-Աղվանի-Մ2 (Սյունիք) ավտոճանապարհի կմ 25+000-կմ37+500 հատվածի հիմնանորոգում</t>
  </si>
  <si>
    <t>Հ-46, Մ2-Տաթև-Աղվանի-Մ2 (Սյունիք) ավտոճանապարհի կմ 37+500-կմ55+000 հատվածի հիմնանորոգում</t>
  </si>
  <si>
    <t>Հ-46, Մ2-Տաթև-Աղվանի-Մ2 (Սյունիք) ավտոճանապարհի կմ 55+000-կմ68+000 հատվածի հիմնանորոգում</t>
  </si>
  <si>
    <t xml:space="preserve">Հ-70, Մ-6- Աթան հանրապետական նշանակության ավտոճանապարհի կմ0+000 - կմ27+500 հատվածի հիմնանորոգում </t>
  </si>
  <si>
    <t>Հ-75,Մ-9-Իսահակյան-Գյումրի-Մ-7 հանրապետական նշանակության  ավտոճանապարհի կմ68+300-կմ70+800 հատվածի հիմնանորոգում</t>
  </si>
  <si>
    <t>Հ-75,Մ-9-Իսահակյան-Գյումրի-Մ-7 հանրապետական նշանակության  ավտոճանապարհի կմ23+250-կմ37+500 և կմ45+300-կմ60+200 հատվածիների հիմնանորոգում</t>
  </si>
  <si>
    <t>Հ-83/ Հ-21/ Արթիկ- Պեմզաշեն-Մ-1 հանրապետական նշանակության  ավտոճանապարհի կմ0+000-կմ8+900 հատվածի հիմնանորոգում</t>
  </si>
  <si>
    <t xml:space="preserve">Հ85,/Հ-1/-Հրազդան-/Հ-55/ հանրապետակա նշանակության  ավտոճանապարհի կմ1+600-կմ3+300հատվածի </t>
  </si>
  <si>
    <t>Հ-87/Մ-16/ Մակարավանքի պատմական հուշարձան հանրապետական նշանակության ավտոճանապարհի կմ4+300-կմ7+800 հատվածի հիմնանորոգում</t>
  </si>
  <si>
    <t>Հ-93, /Հ-75/ - Երերույքի տաճար հանրապետական նշանակության ավտոճանապարհի կմ 0+000-կմ 2+700 հատվածի հիմնանորոգում</t>
  </si>
  <si>
    <t>Հ-36,/Մ-4/ (Իջևան) -Նավուր-բերդ-Այգեպար հանրապետական նշանակության ավտոճանապարհի 48-րդ կիլոմետրից  դեպի զորամաս տանող ճանապարհի հիմնանոգում</t>
  </si>
  <si>
    <t>Հ-46 - Բարձրավան ավտոճանապարհի կառուցում(Քաշունի գյուղի խաչմերուկից)</t>
  </si>
  <si>
    <t>Տ-1-15, /-21/ - Ծաղկահովիտ ավտոճանապարհի կմ0+000 - կմ1+300 հատվածի հիմնանորոգում</t>
  </si>
  <si>
    <t xml:space="preserve">S-1-35, /Հ-81/ Սորիկ ավտոճանապարհի կմ 0+000-կմ 5+100 հատվածի հիմնանորոգում </t>
  </si>
  <si>
    <t>Տ-1-39, /Մ-1/ - Կաթնաղբյուր - Շղարշիկ - Եղնիկ - (Տ-1-17) ավտոճանապարհի կմ 6+900 - կմ 10+800 հատվածի հիմնանորոգում</t>
  </si>
  <si>
    <t xml:space="preserve"> Տ-1-50, /Մ-3/ Լեռնապատ ավտոճանապարհի կմ 0+000 - կմ 3+800 հատվածի հիմնանորոգում</t>
  </si>
  <si>
    <t>Տ-1-52, /Հ-21/ Գեղաձոր ավտոճանապարհի կմ0+000 - կմ1+600 հատվածի հիմնանորոգում</t>
  </si>
  <si>
    <t>Տ-1-65, /Մ-1/-Ներքին Բազմաբերդ (Տ-1-60) ավտոճանապարհի կմ1+300 - կմ1+400 հատվածի հիմնանորոգում</t>
  </si>
  <si>
    <t>S-1-63,/Հ-81/ Կանաչ- Հակո ավտոճանապարհի կմ 0+000-կմ 12+100 հատվածի հիմնանորոգում</t>
  </si>
  <si>
    <t>S-1-68 Ներքին Բազմաբերդ- Կաքավաձոր ավտոճանապարհի կմ 0+000-կմ 4+100 հատվածի հիմնանորոգում</t>
  </si>
  <si>
    <t>Տ-2-62, /Հ-8/, (Այգավան)-/Հ-11/-(Եղեգնավան) ավտոճանապարհի կմ0+100-կմ3+000 հատվածի հիմնանորոգում և կմ0+100-ից դեպի Այգավան ուղեանցի/Մ-2 միջպետական նշանակության ավտոճանապարհի վրայի ուղեանց/ և մոտեցումների նորոգում</t>
  </si>
  <si>
    <t>Տ-2-31, /Տ-2-30/ -Բերդիկ -/Հ-9/ (Այգեստան) ավտոճանապարհի կմ0+000-կմ2+100 հատվածի հիմնանորոգում</t>
  </si>
  <si>
    <t>Տ-3-11/Հ-15/(Արմավիր գ.) -Նալբանդյան -Գետաշեն-Նոր Կեսարիա/Մ-5/ ավտոճանապարհի կմ6+000-կմ10+000հատվածի հիմնանորոգում</t>
  </si>
  <si>
    <t>Տ-3-15,/Հ-15/, Ալաշկերտ (Տ-3-14) ավտոճանապարհի կմ0+000- կմ1+000 հատվածի հիմնանորոգում</t>
  </si>
  <si>
    <t>Տ-3-16 Արևիկ(Տ-3-50)-/Հ-15/ (գ.Արմավիր) ավտոճանապարհի կմ0+000-կմ3+600 հատվածի հիմնանորոգում</t>
  </si>
  <si>
    <t>Տ-3-52,/Մ-5/-Ամասիա-Նալբանդյան(Տ-3-11)-Ջանֆիդա-Փշատավան-/Հ-15/(Արգավանդ) ավտոճանապարհի  կմ14+200-կմ18+400հատվածի ի հմնանորոգում</t>
  </si>
  <si>
    <t>Տ-3-76, Զարթոնք-Արտաշար (Տ-3-54) ավտոճանապարհի կմ0+000- կմ2+100 հատվածի հիմնանորոգում</t>
  </si>
  <si>
    <t>Տ-4-13,/Հ-39/ (Գավառ)Գանձակ-Սարուխան-Գեղարքունիք ավտոճանապարհի կմ 0+000-կմ 12+900 հատվածի հիմնանորոգում</t>
  </si>
  <si>
    <t>Տ-4-78,/Տ-4-40/-Նորակերտ/Մ-14/-(Փոքր Մասրիկ) ավտոճանապարհի կմ5+200-կմ7+200 հատվածի հիմնանորոգում</t>
  </si>
  <si>
    <t>Տ-5-7 /Մ-7/ (Շիրակամուտ)- Լեռնավան- /Տ-5-38/ ավտոճանապարհի կմ0+000-կմ1+000-կմ1+142 հատվածի հիմնանորոգում</t>
  </si>
  <si>
    <t>Տ-5-23,/Մ-3/Սարամեջ ավտոճանապարհի կմ 0+000-կմ 4+300 հատվածի հիմնանորոգում</t>
  </si>
  <si>
    <t>Տ-5-24,/Մ-3/ (Ստեփանավան) – Արմանիս – Ուրասար – Կաթնաղբյուր տեղական նշանակության ավտոճանապարհի կմ 6+600-կմ 15+200 հատվածի և Կաթնաղբյուր համայնքի 8-րդ և 9-րդ փողոցների հիմնանորոգում</t>
  </si>
  <si>
    <t>Տ-5-46,/Մ-6/(Ալավերդի)-Սանահին թաղամաս-Ակներ ավտոճանապարհի կմ0+000-կմ9+300և Տ-5-46-ից դեպի սանահին վանաան համալիր տանող հատվածի հիմնանորոգում.</t>
  </si>
  <si>
    <t xml:space="preserve">Տ-5-46,/Մ-6/(Ալավերդի)-Սանահին թաղամաս-Ակներ ավտոճանապարհի 9․3 կմ երկարությամբ հատվաշի հիմնանորոգում </t>
  </si>
  <si>
    <t xml:space="preserve">Տ-5-93, /Հ-70/ - Մարց մարզային նշանակության ավտոճանապարհի կմ0+000 - կմ0+800 հատվածի հիմնանորոգում </t>
  </si>
  <si>
    <t>Տ-6-3,/Հ-4/(Արագյուղ)-/Հ-5/ ավտոճանապարհի 3.7կմ եկարույամբ հատվածի հիմնանորոգում</t>
  </si>
  <si>
    <t>Տ-6-19,/Հ5/-Աղբյուրակ( Հրազդան քաղաքի թաղամաս) և Վերին Աբյուրակի  այգեգործական զանգված տանող ավտոճանապարհի 3.7կմ ընդհանուր երկարությամբ հատվածի հիմնանորոգում</t>
  </si>
  <si>
    <t>Տ-7-42, /Մ-7/ (Գյումրի) – Հացիկ – Կարմրաքար (Տ-7-45) ավտոճանապարհի կմ0+000 - կմ4+000 հատվածի հիմնանորոգում</t>
  </si>
  <si>
    <t xml:space="preserve">Տ-7-48, Գյումրի (Տ-7-58) - Արեւիկ – Այգեբաց - Վարդաքար - /Հ-21/ ավտոճանապարհի կմ10+900 - կմ16+200 հատվածի հիմնանորոգում </t>
  </si>
  <si>
    <t>Տ-7-52, /Հ-21/ (Արթիկ) – Անուշավան – Փանիկ (Տ-7-53) ավտոճանապարհի կմ0+000 - կմ3+000 հատվածի հիմնանորոգում</t>
  </si>
  <si>
    <t>Տ-7-53,Հ-21/(Նոր կյանք) -Փանիկ-Արևշատ-/Հ-21/ (Մեծ Մանթաշ) ավտոճանապարհի կմ0+000-կմ12+800հատվծի հիմնանորոգում</t>
  </si>
  <si>
    <t>Տ-8-13, /Մ-12/-Վերիշեն-Խոզնավար ավտոճանապարհի կմ0+000 - կմ18+300 հատվածի հիմնանորոգում</t>
  </si>
  <si>
    <t>Տ-8-22, /Մ-2/ - Վարդավանք – Խդրանց - Ագարակ ավտոճանապարհի կմ0+000 - կմ13+100 հատվածի հիմնանորոգում</t>
  </si>
  <si>
    <t>Տ-8-49/Տ-8-48/- Լծեն ավտոճանապարհի վերակառուցում</t>
  </si>
  <si>
    <t>Տ-8-56, /Մ-2/ - Հարժիս ավտոճանապարհի կմ0+000 - կմ8+000 հատվածի հիմնանորոգում</t>
  </si>
  <si>
    <t>Տ-8-93, Լծեն- Տաթև  ավտոճանապարհի վերակառուցում</t>
  </si>
  <si>
    <t>Տ-9-19, /Մ-2/ - Հերհեր -Կարմրաշեն մարզային նշանակության ավտոճանապարհի կմ10+000 - կմ18+700 հատվածի հիմնանորոգում</t>
  </si>
  <si>
    <t xml:space="preserve">Տ-10-9 /Հ-36/- Չինչին ավտոճանապարհի կմ 0+000-կմ 10+000 հատվածի հիմնանորոգում </t>
  </si>
  <si>
    <t>Տ-10-16, /Հ-64/- Քոլագիրի ճամբար ավտոճանապարհի կմ0+000 - կմ1+700 հատվածի հիմնանորոգում</t>
  </si>
  <si>
    <t xml:space="preserve">Տ-10-32 /Մ-4/ Դիտավան ավտոճանապարհի կմ 0+000-կմ 3+100 հատվածի հիմնանորոգում </t>
  </si>
  <si>
    <t xml:space="preserve">Տ-10-34 /Մ-4/ Լեռնային Հայաստան առողջարան ավտոճանապարհի կմ 0+000-կմ 2+200 հատվածի հիմնանորոգում </t>
  </si>
  <si>
    <t xml:space="preserve"> /Մ-12/- Կոռռնիձոր-ԱՀ սահման ավտոճանապարհի կմ0+000-կմ4+000 հատվածի վերակառուցում</t>
  </si>
  <si>
    <t xml:space="preserve"> /Մ-12/- Կոռռնիձոր-ԱՀ սահման ավտոճանապարհի կմ4+000-կմ9+000 հատվածի վերակառուցում</t>
  </si>
  <si>
    <t xml:space="preserve"> /Մ-12/- Կոռռնիձոր-ԱՀ սահման ավտոճանապարհի կմ9+000-կմ11+779.75 հատվածի վերակառուցում</t>
  </si>
  <si>
    <t>/Մ-17/-Նռնաձոր - /Հ-49/ավտոճանապարհի կառուցում</t>
  </si>
  <si>
    <t>Արթիկ համայնքի Սպանդարյան փողոցի ասֆալտապատում</t>
  </si>
  <si>
    <t xml:space="preserve">Հրազդան քաղաքի հարավային թաղամաս 1069 գծմ (Նոյեմբերյան փողոց 627 գծմ, Մյասնիկյան փողոց 442 գծմ) հատվածնեի հիմնանորոգում </t>
  </si>
  <si>
    <t xml:space="preserve">Հրազդան քաղաքի Տիգրան Մեծ փողոցի 290 գծմ  հատվածնեի հիմնանորոգում </t>
  </si>
  <si>
    <t>/Հ-70/- Քարինջ մարզային նաշանակության ավտոճանապարհի կմ0+000-կմ3+500 հատվածի հիմնանորոգում</t>
  </si>
  <si>
    <t>ՀՀ Լոռու մարզի Ստեփանավան քաղաքի Սուրբ Վարդան  փողոցի կմ0+000- կմ1+600  (Հ-34-I հետ հատման կետ) հատվածի հիմնանորոգում</t>
  </si>
  <si>
    <t>ՀՀ Լոռու մարզի Ստեփանավան քաղաքի Չարենցի  փողոցի 1.725կմ հատվածի և Ավետիսյան փողոցի 0.120կմ հատվածի   հիմնանորոգում</t>
  </si>
  <si>
    <t>Տանձավեր - Շուռնուխ ավտոճանապարհի կառուցում</t>
  </si>
  <si>
    <t>Որոտան - Խոտ ավտոճանապարհի վերակառուցում</t>
  </si>
  <si>
    <t>Մ-5,Երևան-Արմավիր-Թուրքիայի սահման միջպետական նշանակության ավտոճանապարհից դեպի &lt;&lt;Արմենիա միջազգային  ՓԲԸ բեռնային Համալիր տանող 1.7կմ երկարությամբ ճանապարհի հիմնանորոգում</t>
  </si>
  <si>
    <t xml:space="preserve">Վանաձոր քաղաքային համայնքի Կ.Դեմիրճյան փողոցի հիմնանորոգում </t>
  </si>
  <si>
    <t>Վանաձոր քաղաքային համայնքի Խորոնացի փողոցի(երկու երթևեկելի գոտիներ/0.4կմ+0.4կմ/) հիմնանորոգում</t>
  </si>
  <si>
    <t>Վանաձոր քաղաքային համայնքի Մոսկովյան փողոցի հիմնանորոգում</t>
  </si>
  <si>
    <t>Վանաձոր քաղաքային համայնքի Գ.Լուսավորիչ փողոցի հիմնանորոգում</t>
  </si>
  <si>
    <t>ՀՀ Գեղարքունիքի մարզի Մարտունի համայնքի  Մյասնիկյան փողոցի մայթերի կառուցում</t>
  </si>
  <si>
    <t>ՀՀ Գեղարքունիքի մարզ Լճաշեն համայնքի Փոստի մոտց դեպի Կիկլոպյան ամրոց տանող ճանապարհի 1.2կմ երկարությամբ հատվածի հիմնանորոգում</t>
  </si>
  <si>
    <t>Մարտունի քաղաքի Սայաթ Նովա փողոցի (Մ-10-ի շրջանց) ավտոճանապարհի հիմնանորոգում</t>
  </si>
  <si>
    <t xml:space="preserve">Իջևան քաղաքի Սարիբեկ-Օհանյան փողոցի կմ0+000-կմ1+145  հատվածի հիմնանորոգում </t>
  </si>
  <si>
    <t>Մ-3, Մարգարա-Վանաձոր-Տաշիր-Վրաստանի սահման կմ144+020 հատվածում կամրջի վերանորոգում</t>
  </si>
  <si>
    <t xml:space="preserve"> կմ144+020-ում գտնվող կամրջի հիմնանորոգում</t>
  </si>
  <si>
    <t>կմ105+500-ում գտնվող կամրջի հիմնանորոգում</t>
  </si>
  <si>
    <t>կմ 11+400 հատվածում գտնվող կամրջի հիմնանորոգում</t>
  </si>
  <si>
    <t>Մ- 4, Երևան-Սևան-Իջևան-Ադրբեջանի սահման</t>
  </si>
  <si>
    <t xml:space="preserve">կմ 103+900 հատվածի վթարված կամրջի վերականգնում </t>
  </si>
  <si>
    <t>կմ 14+796 հատվածում գտնվող կամրջի վերանորոգում</t>
  </si>
  <si>
    <t>կմ 104+300հատվածում գտնվող կամրջի վերանորոգում</t>
  </si>
  <si>
    <t>կմ 68+000-կմ 69+000 հատվածում փլուզված հողային պաստառի շեպի վերականգնում</t>
  </si>
  <si>
    <t>/Մ-4/ Սևանի թերակղզի հանրապետական նշանակության ավտոճանապարհի կմ1+400-կմ1+500   հատվածում փլուզված հողային պաստառի շեպի վերականգնում</t>
  </si>
  <si>
    <t>Մ- 10, Սևան-Մարտունի-Գետափ կմ123+500 (Գետափ  բնակավայրի դպրոցի մոտ)վերգետնյա հետիոտնային ամցման կառուցում</t>
  </si>
  <si>
    <t>Հ-7, /Հ-5/ - Կարենիս - Չարենցավան - Ֆանտան հանրապետական նշանակության ավտոճանապարհի Չարենցավան - Ֆանտան հատվածի (Երևան -Սևան երկաթգծի և հրազդանի ջրանցքի վրայով անցնող) կամրջի հիմնանորոգում</t>
  </si>
  <si>
    <t>Հ-30,Մ-4-Ճամբարակ-Դրախտիկ կմ35+350-ում գտնվող Կամրջի հիմնանորոգում</t>
  </si>
  <si>
    <t xml:space="preserve"> Հ-53, Մ-4-Սմյոնովկա-Մ-4 հանրապետական նշանակության ավտոճանապարհի  կմ0+100 հատվածի  կամուրջի հիմնանորոգում</t>
  </si>
  <si>
    <t>Հ-53, /Մ-4/-Սմյոնովկա-/Մ-4/ հանրապետական նշանակության ավտոճանապարհի կմ 11+640- կմ- 11+665  հատվածում  հենապատի կառուցում</t>
  </si>
  <si>
    <t>Հ-22,  /Մ-6/Դսեղ-/Հ-70/ հանրապետական նշանակության ավտոճանապարհի առաջին կիլոմետրում գտնվող կամրջի հիմնանորոգում</t>
  </si>
  <si>
    <t>Տ-2-13 Արգավանդ – Հայանիստ – Հովտաշատ - Արմավիրի մարզի սահման մարզային նշանակության ավտոճանապարհի կմ4+000 կամրջի հիմնանորոգում</t>
  </si>
  <si>
    <t>Սևանի տրանսպորտային հանգույցի հիմնանորոգում</t>
  </si>
  <si>
    <t>Այլ նշանակության ավտոճանապարհների հիմնանորոգում,</t>
  </si>
  <si>
    <t>Ջրամատակարարման և ջրահեռացման համակարգի հիմնանորոգում</t>
  </si>
  <si>
    <t>ՀՀ Արարատի մարզի Արբաթ համայնքի խմելու ջրամատակարարման համակարգի վերակառուցում</t>
  </si>
  <si>
    <t>ՀՀ Արարատի մարզի Խաչփար համայնքի ջրամատակարարման համակարգի վերակառուցում</t>
  </si>
  <si>
    <t>ՀՀ Գեղարքունիքի մարզի Վարսեր  բնակավայրի ջրամատակարարման համակարգի վերակառուցում</t>
  </si>
  <si>
    <t>ՀՀ Գեղարքունիքի մարզի Ներքին Գետաշեն  բնակավայրի ջրամատակարարման համակարգի վերակառուցում</t>
  </si>
  <si>
    <t>ՀՀ Սյունիքի մարզի Մեղրի քաղաքի ջրի մաքրման կայանի ապամոնտաժում, նորի կառուցում</t>
  </si>
  <si>
    <t>ՀՀ Գեղարքունիքի մարզի Կարմիրգյուղ և Սարուխան  բնակավայրերի ջրամատակարարման համակարգի վերակառուցում</t>
  </si>
  <si>
    <t>ՀՀ Սյունիքի մարզի Ագարակ քաղաքի գոյություն ունեցող ջրի մաքրման կայանի հիմնանորոգում, լրացուցիչ նոր կայանի կառուցում</t>
  </si>
  <si>
    <t>ՀՀ Արարատի մարզի Արալեզ համայնքի ջրամատակարարման համակարգի վերակառուցում</t>
  </si>
  <si>
    <t>ՀՀ Արարատի մարզի Փոքր Վեդի համայնքի ջրամատակարարման համակարգի վերակառուցում</t>
  </si>
  <si>
    <t>ՀՀ Արարատի մարզի Մխչյան համայնքի ջրամատակարարման համակարգի վերակառուցում</t>
  </si>
  <si>
    <t>ՀՀ Արարատի մարզի Մասիս քաղաքի ջրամատակարարման համակարգի վերակառուցում</t>
  </si>
  <si>
    <t>ՀՀ Արարատի մարզի Նոր Կյուրին համայնքի ջրամատակարարման համակարգի վերակառուցում</t>
  </si>
  <si>
    <t>ՀՀ Արարատի մարզի Բուրաստան համայնքի ջրամատակարարման համակարգի վերակառուցում</t>
  </si>
  <si>
    <t>ՀՀ Արարատի մարզի Վ. Դվին համայնքի ջրամատակարարման համակարգի վերակառուցում</t>
  </si>
  <si>
    <t>ՀՀ Արարատի մարզի Բերդիկ համայնքի ջրամատակարարման համակարգի վերակառուցում</t>
  </si>
  <si>
    <t>ՀՀ Արարատի մարզի Սիսավան համայնքի խմելու ջրամատակարարման համակարգի վերակառուցում</t>
  </si>
  <si>
    <t xml:space="preserve">ՀՀ Արարատի մարզի Նոր Ուղի համայնքի խմելու ջրամատակարարման համակարգի վերակառուցում  </t>
  </si>
  <si>
    <t>ՀՀ Արարատի մարզի Ազատավան համայնքի ջրամատակարարման համակարգի վերակառուցում</t>
  </si>
  <si>
    <t>ՀՀ Արարատի մարզի Վերին Արտաշատ համայնքի խմելու ջրամատակարարման համակարգի վերակառուցում</t>
  </si>
  <si>
    <t>ՀՀ Արարատի մարզի Ղուկասավան համայնքի խմելու ջրամատակարարման համակարգի վերակառուցում</t>
  </si>
  <si>
    <t>ՀՀ Արարատի մարզի Ոստան համայնքի ջրամատակարարման համակարգի վերակառուցում</t>
  </si>
  <si>
    <t>ՀՀ Արարատի մարզի Դվին համայնքի ջրամատակարարման ցանցի վերակառուցում</t>
  </si>
  <si>
    <t>ՀՀ Արարատի մարզի Նոր Կյանք համայնքի ջրամատակարարման համակարգի վերակառուցում</t>
  </si>
  <si>
    <t>ՀՀ Արարատի մարզի Շահումյան համայնքի խմելու ջրամատակարարման համակարգի վերակառուցում</t>
  </si>
  <si>
    <t>ՀՀ Արարատի մարզի Արտաշատ համայնքի (վեց փողոցների) խմելու ջրամատակարարման համակարգի վերակառուցում</t>
  </si>
  <si>
    <t>ՀՀ Գեղարքունիքի մարզի Վահան  բնակավայրի ջրամատակարարման համակարգի վերակառուցում</t>
  </si>
  <si>
    <t>ՀՀ Արարատի մարզի Նոր Կյանք համայնքի ջրամատակարարման համակարգի վերակառուցում (Հ8, Երևան-Արտաշատ-Այգավան կմ26+400 կմ30+000)</t>
  </si>
  <si>
    <t>Ջրային կոմիտեի տեխնիկական հագեցվածության բարելավում</t>
  </si>
  <si>
    <t>Լոռու մարզպետարան</t>
  </si>
  <si>
    <t>ՀՀ Լոռու մարզի Փամբակ համայնքի Ձորագետ բնակավայրի ճանապարհի պատնեշի քարաթափման վերացման աշխատանքներ</t>
  </si>
  <si>
    <t>Շիրակի մարզպետարան</t>
  </si>
  <si>
    <t xml:space="preserve">ՀՀ Շիրակի մարզի Գյումրի քաղաքի Տիգրան Մեծ N 5 շենքի անբավարար տեխնիկական վիճակում գտնվող թվով 3 մուտքերի ուժեղացման-վերականգնման (ամրացման) նախագծանախահաշվային փաստաթղթերի ձեռքբերում  
</t>
  </si>
  <si>
    <t xml:space="preserve">ՀՀ Շիրակի մարզի Գյումրի քաղաքի Տիգրան Մեծ N 5 շենքի անբավարար տեխնիկական վիճակում գտնվող թվով 3 մուտքերի ուժեղացման-վերականգնման (ամրացման) նախագծանախահաշվային փաստաթղթերի  փորձաքննության ծառայությունների ձեռքբերում 
</t>
  </si>
  <si>
    <t>ՀՀ մարզերում առաջնահերթ լուծում պահանջող անհետաձգելի ծրագրերի իրականացում</t>
  </si>
  <si>
    <t>Արագածոտնի մարզպետարան</t>
  </si>
  <si>
    <t>«Աշտարակի բժշկական կենտրոն» ՓԲԸ-ի համար անհրաժեշտ շարժական ռենտգեն սարքավորման ձեռքբերում</t>
  </si>
  <si>
    <t>«Աշտարակի բժշկական կենտրոն» ՓԲԸ-ի համար անհրաժեշտ էլեկտրասրտագրման սարքի ձեռքբերում</t>
  </si>
  <si>
    <t>Գեղարքունիքի մարզպետարան</t>
  </si>
  <si>
    <t>«Սևանի ԲԿ» ՓԲԸ-ի վերանորոգում</t>
  </si>
  <si>
    <t>Բժշկական սարքավորումների ձեռքբերում</t>
  </si>
  <si>
    <t xml:space="preserve"> այդ թվում` ըստ ուղղությունների</t>
  </si>
  <si>
    <t xml:space="preserve">«Ճամբարակի ԱԿ» ՓԲԸ-ի համար
ակնաբուժական ճեղքային լամպի ձեռքբերում </t>
  </si>
  <si>
    <t xml:space="preserve">«Գավառի ԲԿ» ՓԲԸ-ի համար
ոււլտրաձայնային սարքավորում
շարժական 
</t>
  </si>
  <si>
    <t xml:space="preserve">«Ճամբարակի ԱԿ» ՓԲԸ-ի համար
գաստրոսկոպ (վիդեոպրոցեսոր) </t>
  </si>
  <si>
    <t xml:space="preserve">«Մարտունի ԲԿ» ՓԲԸ-ի համար
ԷԷԳ սարք, էլեկտրոուղեղագրման
համակարգի ձեռքբերում 
</t>
  </si>
  <si>
    <t xml:space="preserve">«Մարտունի ԲԿ» ՓԲԸ-ի համար
Էլեկտրոմիոգրաֆի ձեռքբերում </t>
  </si>
  <si>
    <t xml:space="preserve">«Գավառի ԲԿ» ՓԲԸ-ի համար
էլէկտրոկոագուլյացիոն սարքի
ձեռքբերում 
</t>
  </si>
  <si>
    <t xml:space="preserve">«Մարտունի ԲԿ» ՓԲԸ-ի համար
Լիգաշուր՝ Էլեկտրավիրաբուժական
լիգավորման համակարգի ձեռքբերում </t>
  </si>
  <si>
    <t xml:space="preserve">«Մարտունի ԲԿ» ՓԲԸ-ի համար
հեմոդիալիզի սարքավորումների
ձեռքբերում (2 հատ), «Գավառի ԲԿ»
ՓԲԸ-ի համար հեմոդիալիզի
սարքավորման ձեռքբերում (1 հատ) </t>
  </si>
  <si>
    <t xml:space="preserve">«Մարտունու ծննդատուն» ՊՓԲԸ-ի
համար մանկաբարձական սեղանի
ձեռքբերում (2 հատ) 
</t>
  </si>
  <si>
    <t>«Սևանի ԲԿ», «Վարդենիսի ԲԿ» և
«Ճամբարակի ԱԿ» ՓԲԸ-ի ուլտրաձայնային ստացիոնար հետազոտման
սարք՝ 4 տվիչով (3 հատ)</t>
  </si>
  <si>
    <t>«Սևանի ԲԿ» ՓԲԸ-ի համար
ռենտգենոգրաֆիկ համակարգ`
շարժական թվային սարքի ձեռքբերում</t>
  </si>
  <si>
    <t xml:space="preserve">«Մարտունու ծննդատուն» ՊՓԲԸ-ի
համար վակում էքսկոխլիատորի
ձեռքբերում 
</t>
  </si>
  <si>
    <t xml:space="preserve">«Լիճքի ԱԱՊԿ» ՊՈԱԿ-ի համար
մանրէազերծող սարքի ձեռքբերում
(չորացնող պահարան) </t>
  </si>
  <si>
    <t>«Գավառի Բ/Կ» ՓԲԸ-ի,
«Սարուխանի Բ/Ա» ՊՈԱԿ-ի,
«Կարմիրգյուղի Բ/Ա» ՊՈԱԿ-ի,
«Լճաշենի ԱԱՊԿ» ՊՈԱԿ-ի,
«Մարտունու ԲԿ» ՓԲԸ-ի,
«Վ.Գետաշենի Բ/Ա» ՊՈԱԿ-ի,
«Լիճք ԱԱՊԿ» ՊՈԱԿ-ի,
«Աստղաձորի ԱԱՊԿ» ՊՈԱԿ-ի
«Վաղաշենի ԱԱՊԿ» ՊՈԱԿ-ի,
«Զոլաքարի Բ/Ա» ՊՈԱԿ-ի,
«Ծովինարի Բ/Ա» ՊՈԱԿ-ի,
«Երանոսի Բ/Ա» ՊՈԱԿ-ի,
«Վարդենիկի Ա/Կ» ՊՈԱԿ-ի,
«Ծովակի ԱԱՊԿ» ՊՈԱԿ-ի,
«Մեծ Մասրիկի ԱԱՊԿ» ՊՈԱԿ-ի,
«Լուսակունք ԱԱՊԿ» ՊՈԱԿ-ի և
«Դպրաբակ Բ/Ա» ՊՈԱԿ-ի համար
օտոսկոպ սարքերի ձեռքբերում
(յուրաքանչյուրին 1 հատ, ընդամենը
17 հատ)</t>
  </si>
  <si>
    <t xml:space="preserve">«Գավառի Բ/Կ» ՓԲԸ-ի (2 հատ),
«Նորատուսի Բ/Ա» ՊՈԱԿ-ի (1 հատ),
«Սևանի ԲԿ» ՓԲԸ-ի (1 հատ),
«Դդմաշենի ԲԱ» ՊՈԱԿ-ի (1 հատ),
«Մարտունու ԲԿ» ՓԲԸ-ի (2 հատ),
«Վ.Գետաշենի Բ/Ա» ՊՈԱԿ-ի (1 հատ),
«Լիճք ԱԱՊԿ» ՊՈԱԿ-ի (1 հատ),
«Աստղաձորի ԱԱՊԿ» ՊՈԱԿ-ի (1 հատ),
«Ն. Գետաշենի Բ/Ա» ՊՈԱԿ-ի (1 հատ),
«Վաղաշենի ԱԱՊԿ» ՊՈԱԿ-ի (1 հատ),
«Զոլաքարի Բ/Ա» ՊՈԱԿ-ի (1 հատ),
«Երանոսի Բ/Ա» ՊՈԱԿ-ի (1 հատ),
«Ծակքարի ԱԱՊԿ» ՊՈԱԿ-ի (1 հատ),
«Մեծ Մասրիկի ԱԱՊԿ» ՊՈԱԿ-ի (1 հատ),
«Լուսակունք ԱԱՊԿ» ՊՈԱԿ-ի (1 հատ),
«Ճամբարակի Ա/Կ» ՓԲԸ-ի (1 հատ)
և «Դպրաբակ Բ/Ա» ՊՈԱԿ-ի (1 հատ)
համար օֆթալմոսկոպ սարքերի
ձեռքբերում (ընդամենը 19 հատ) 
</t>
  </si>
  <si>
    <t xml:space="preserve">«Գավառի Բ/Կ» ՓԲԸ-ի (1 հատ),
«Սևանի ԲԿ» ՓԲԸ-ի (1 հատ),
«Մարտունու ԲԿ» ՓԲԸ-ի (1 հատ),
«Մարտունու Ծննդատուն» ՊՓԲԸ (1
հատ), «Վարդենիսի ԲԿ» ՓԲԸ-ի (1
հատ) և «Ճամբարակի Ա/Կ» ՓԲԸ-ի
(1 հատ) համար էլեկտրոնային մանկական, թվային կշեռքների ձեռքբերում (ընդամենը 6 հատ) 
</t>
  </si>
  <si>
    <t>Սյունիքի մարզպետարան</t>
  </si>
  <si>
    <t>ՀՀ Սյունիքի մարզի Գորիս համայնքի Քարահունջ բնակավայրի գյուղամիջյան 1-ին փողոցի քանդված հենապատի և ճանապարհի վերականգնման աշխատանքներ</t>
  </si>
  <si>
    <t>ՀՀ Սյունիքի մարզի Գորիս համայնքի Ակներ գյուղի թիվ 15 փողոցի վերանորոգման աշխատանքներ</t>
  </si>
  <si>
    <t>ՀՀ Սյունիքի մարզի &lt;&lt;Սիսիանի մանկապատանեկան մարզադպրոց&gt;&gt; ՊՈԱԿ-ի  շենքի վերանորոգման աշխատանքներ</t>
  </si>
  <si>
    <t>Վայոց ձորի մարզպետարան</t>
  </si>
  <si>
    <t>«Եղեգնաձորի բժշկական կենտրոն» ՓԲԸ-ի համակարգչային տոմոգրաֆիայի համար տարածքի հիմնանորոգում</t>
  </si>
  <si>
    <t>Եղեգնաձորի մշակույթի կենտրոն ՊՈԱԿ-ի բեմահարթակի, բեմի լուսային համակարգի նորոգման և ջեռուցման համակարգի օպտիմալացման նախագծանախահաշվային փաստաթղթեր</t>
  </si>
  <si>
    <t xml:space="preserve"> Տավուշի մարզպետարան</t>
  </si>
  <si>
    <t>Իջևան ԱԱՊԿ-ի ադմինիստրատիվ մասի սանհանգույցի վերանորոգում</t>
  </si>
  <si>
    <t xml:space="preserve">«Իջևանի առողջության առաջնային
պահպանման կենտրոն» ՓԲԸ-ի
համար սրտագրման սարքեր
(կարդիոգրաֆներ) 
</t>
  </si>
  <si>
    <t xml:space="preserve">«Իջևանի առողջության առաջնային
պահպանման կենտրոն» ՓԲԸ-ի
համար բժշկական կահույք 
</t>
  </si>
  <si>
    <t xml:space="preserve">«Նոյեմբերյանի բժշկական
կենտրոն» ՓԲԸ-ի համար ռենտգեն
ախտորոշման համակարգ 
</t>
  </si>
  <si>
    <t>ՀՀ տարածքային կառավարման և ենթակառուցվածքների նախարարության կարողությունների զարգացում և տեխնիկական հագեցվածության ապահովում</t>
  </si>
  <si>
    <t>ՀՀ քննչական կոմիտեի պահուստային ֆոնդ</t>
  </si>
  <si>
    <t>ՀՀ քննչական կոմիտեի տեխնիկական հագեցվածության բարելավում</t>
  </si>
  <si>
    <t>ՀՀ քննչական կոմիտեի Արմավիրի մարզի Վաղարշապատ քաղաքի քննչական բաժնի Մեսրոպ Մաշտոցի փողոցի N81 հասցեի վարչական շենքի կապիտալ վերանորոգում</t>
  </si>
  <si>
    <t>ՀՀ քննչական կոմիտեի Արմավիրի մարզի Արմավիր քաղաքի քննչական բաժնի Չարենցի փողոցի N24 հասցեի վարչական շենքի կապիտալ վերանորոգում</t>
  </si>
  <si>
    <t>ՀՀ քննչական կոմիտեի Տավուշի մարզի Գետահովիտ համայնքի 1-ի փողոցի 3/3 վեցերորդ կայազորային քննչական բաժնի վարչական շենքի կապիտալ վերանորոգում</t>
  </si>
  <si>
    <t>Բամբակաշատ համայնքի գազի կալոնկա խորքային հորի վերականգնում</t>
  </si>
  <si>
    <t xml:space="preserve">Շենավան համայնքի Վարդանյանի բաժանարարի խորքային հորի վերականգնում </t>
  </si>
  <si>
    <t>ՀՀ տարածքով անցնող երկաթգծերի վերականգնում</t>
  </si>
  <si>
    <t>Պետական գույքի կառավարման կոմիտեի ենթակայության շենքերի պայմանների բարելավում</t>
  </si>
  <si>
    <t>Միգրացիոն ծառայության կարողությունների զարգացում և տեխնիկական հագեցվածության ապահովում</t>
  </si>
  <si>
    <t>Երևանի Բուսաբանական այգու տարածքում անտառպուրակի կառուցապատման նախագծային աշխատանքների իրականացում</t>
  </si>
  <si>
    <t>ՀՀ համայնքներում բազմաբնակարան շենքերի տեխնիկական վիճակի բարելավում</t>
  </si>
  <si>
    <t>ՀՀ քաղաքացիական ավիացիայի կոմիտեի տեխնիկական հագեցվածության բարելավում</t>
  </si>
  <si>
    <t>Մանկապատանեկան մարզադպրոցներին, մարզաձևերի ազգային ֆեդերացիաներին և այլ մարզական հասարակական կազմակերպություններին գույքով ապահովում</t>
  </si>
  <si>
    <t>«Էջմիածնի պետական քոլեջ» ՊՈԱԿ</t>
  </si>
  <si>
    <t xml:space="preserve"> ՀՀ Լոռու մարզ</t>
  </si>
  <si>
    <t>ք. Վանաձորի գյուղատնտեսական պետական քոլեջի վերակառուցում</t>
  </si>
  <si>
    <t xml:space="preserve">ք. Վանաձորի Միքայել Թավրիզյանի անվան արվեստի պետական քոլեջի վերակառուցում </t>
  </si>
  <si>
    <t xml:space="preserve"> ՀՀ Կոտայքի  մարզ</t>
  </si>
  <si>
    <t>«Նոր Գեղիի ակադեմիկոս Գ. Աղաջանյանի անվան պետական գյուղատնտեսական քոլեջ» ՊՈԱԿ</t>
  </si>
  <si>
    <t>Նախնական մասնագիտական (արհեստագործական) և միջին մասնագիտական ուսումնական հաստատություններում ուսումնարտադրական բազայով ապահովում</t>
  </si>
  <si>
    <t>ք. Վանաձորի գյուղատնտեսական պետական քոլեջ ՊՈԱԿ</t>
  </si>
  <si>
    <t xml:space="preserve">«Գյումրու N 4 արհեստագործական պետական ուսումնարան» ՊՈԱԿ </t>
  </si>
  <si>
    <t>«Դիլիջանի արվեստի պետական քոլեջ»  ՊՈԱԿ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</si>
  <si>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</si>
  <si>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>Այգեշատ համայնքի Թարգմանչաց եկեղեցու վերականգնում</t>
  </si>
  <si>
    <t>Քոբայր երկաթգծի կայարանի Քոբայրավանքի սեղանատան վերականգնում</t>
  </si>
  <si>
    <t>Լոռի Բերդ ամրոցի պարսպի հյուսիս-արևելյան հատվածի ամրակայում և մասնակի վերականգնում</t>
  </si>
  <si>
    <t>Չարենցավան համայնքի «Ճանապարհաշինարարներին» քանդակի տարածքի բարեկարգում</t>
  </si>
  <si>
    <t>Տեղ համայնքի Սբ Գևորգ եկեղեցու վերականգնում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</si>
  <si>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</si>
  <si>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Ագարակ հնավայրի վաղ բրոնզի դարի կացարանների, միջնադարյան համալիրի և Պարսպապատի ամրակայում</t>
  </si>
  <si>
    <t>Ամբերդ ամրոցի վթարային հատվածների ամրակայում և դրա տարածքների բարեկարգում</t>
  </si>
  <si>
    <t>Դսեղ համայնքի Բարձրաքաշի Սբ Գրիգոր վանական համալիրի վավերագրում և ուսումնասիրում</t>
  </si>
  <si>
    <t>Հաղպատ վանական համալիրի արևմտյան պարսպապատի և աշտարակների վերականգնում</t>
  </si>
  <si>
    <t xml:space="preserve">Երերույքի տաճարի և փոքր դամբարանի թաղերի ամրակայում, Անիպեմզայի մշակույթի տան վերականգնում և փոքրիկ թանգարանի ստեղծում </t>
  </si>
  <si>
    <t>Աշոցք  տարածաշրջանի Կրասարի կամրջի վերականգնում</t>
  </si>
  <si>
    <t>ՀՀ Վայոց Ձորի մարզ</t>
  </si>
  <si>
    <t>Շատիվանքի վանական համալիրի ամրակայում, մասնակի վերականգնում և տարածքի բարեկարգում</t>
  </si>
  <si>
    <t xml:space="preserve"> Հայաստանի Հանրապետությունում տեղակայված և տեղակայվող արձանների և քանդակների հարակից հողատարածքների ձեռքբերում</t>
  </si>
  <si>
    <t>«Արձագանք» քանդակի հարակից տարածքի` 0,16 հեկտար 07-051-0315-0003 կադաստրային ծածկագրով հողամաս</t>
  </si>
  <si>
    <t>Ներդրումներ թանգարանների և պատկերասրահների հիմնանորոգման համար</t>
  </si>
  <si>
    <t>«Հայաստանի պատմության թանգարան» ՊՈԱԿ</t>
  </si>
  <si>
    <t>Թանգարանների և պատկերասրահների գույքային և տեխնիկական հագեցվածության բարելավում</t>
  </si>
  <si>
    <t xml:space="preserve">«Հ. Շարամբեյանի անվան ժողովրդական արվեստների թանգարան» ՊՈԱԿ </t>
  </si>
  <si>
    <t>«Արամ Խաչատրյանի տուն-թանգարան» ՊՈԱԿ</t>
  </si>
  <si>
    <t>«Սերգեյ Փարաջանովի թանգարան» ՊՈԱԿ</t>
  </si>
  <si>
    <t>«Հովհաննես Թումանյանի թանգարան» ՊՈԱԿ</t>
  </si>
  <si>
    <t>«Եղիշե Չարենցի տուն-թանգարան» ՊՈԱԿ</t>
  </si>
  <si>
    <t>«Երվանդ Քոչարի թանգարան» ՊՈԱԿ</t>
  </si>
  <si>
    <t>«Եղիշե Չարենցի անվան գրականության և արվեստի թանգարան» ՊՈԱԿ</t>
  </si>
  <si>
    <t>«Ալեքսանդր Սպենդարյանի տուն-թանգարան» ՊՈԱԿ</t>
  </si>
  <si>
    <t>«Ավետիք Իսահակյանի տուն-թանգարան» ՊՈԱԿ</t>
  </si>
  <si>
    <t>«Հայ և ռուս ժողովուրդների բարեկամության թանգարան» ՊՈԱԿ</t>
  </si>
  <si>
    <t>«Ն. Ադոնցի անվան Սիսիանի պատմության թանգարան» ՊՈԱԿ</t>
  </si>
  <si>
    <t>«Կոմիտասի թանգարան-ինստիտուտ» ՊՈԱԿ</t>
  </si>
  <si>
    <t>«Խաչատուր Աբովյանի տուն-թանգարան» ՊՈԱԿ</t>
  </si>
  <si>
    <t>«Մարտիրոս Սարյանի տուն-թանգարան» ՊՈԱԿ</t>
  </si>
  <si>
    <t>«Հայաստանի ազգային պատկերասրահ» ՊՈԱԿ</t>
  </si>
  <si>
    <t>«Սարդարապատի հերոսամարտի հուշահամալիր, Հայոց ազգագրության և ազատագրական պայքարի պատմության ազգային թանգարան» ՊՈԱԿ</t>
  </si>
  <si>
    <t>«Օրբելի եղբայրների տուն-թանգարան» ՊՈԱԿ</t>
  </si>
  <si>
    <t>«Հրազդանի երկրագիտական թանգարան» ՊՈԱԿ</t>
  </si>
  <si>
    <t xml:space="preserve"> Պատմամշակութային ժառանգության ոլորտի կազմակերպությունների գույքային ապահովվածության բարելավում</t>
  </si>
  <si>
    <t>«Պատմամշակութային ժառանգության գիտահետազոտական կենտրոն» ՊՈԱԿ</t>
  </si>
  <si>
    <t>Բարձրագույն  ուսումնական հաստատությունների և «Զեյթուն»  ուսանողական ավան»  հիմնադրամի շենքային պայմանների բարելավում</t>
  </si>
  <si>
    <t>«Հայաստանի ազգային գրադարան» ՊՈԱԿ</t>
  </si>
  <si>
    <t>«Խնկո-Ապոր անվան ազգային մանկական գրադարան» ՊՈԱԿ</t>
  </si>
  <si>
    <t>«Վ. Պետրոսյանի անվան Արագածոտնի մարզային գրադարան» ՊՈԱԿ</t>
  </si>
  <si>
    <t>«Օ. Չուբարյանի անվան Արարատի մարզային գրադարան» ՊՈԱԿ</t>
  </si>
  <si>
    <t>«Արմավիրի մարզային գրադարան» ՊՈԱԿ</t>
  </si>
  <si>
    <t>ՀՀ Գեղարքունիքի մարզ</t>
  </si>
  <si>
    <t>«Վ. Պետրոսյանի անվան Գեղարքունիքի մարզային գրադարան» ՊՈԱԿ</t>
  </si>
  <si>
    <t>«Լոռու մարզային գրադարան» ՊՈԱԿ</t>
  </si>
  <si>
    <t>«Կոտայքի մարզային գրադարան» ՊՈԱԿ</t>
  </si>
  <si>
    <t>«Շիրակի մարզային գրադարան» ՊՈԱԿ</t>
  </si>
  <si>
    <t>«Սյունիքի մարզային գրադարան» ՊՈԱԿ</t>
  </si>
  <si>
    <t>«Վայոց ձորի մարզային գրադարան» ՊՈԱԿ</t>
  </si>
  <si>
    <t>«Տավուշի մարզային գրադարան» ՊՈԱԿ</t>
  </si>
  <si>
    <t xml:space="preserve"> Ներդրումներ գրադարանների հիմնանորոգման համար</t>
  </si>
  <si>
    <t xml:space="preserve"> ՀՀ կրթության, գիտության, մշակույթի և սպորտի նախարարության կարողությունների զարգացում և տեխնիկական հագեցվածության ապահովում_x000D_</t>
  </si>
  <si>
    <t>«Մոդուլային» տիպի մանկապարտեզների շենքային ապահովում</t>
  </si>
  <si>
    <t xml:space="preserve">ՀՀ Արագածոտնի մարզի  Ալագյազ համայնքում «Մոդուլային» տիպի 144 տեղ հզորությամբ մսուր-մանկապարտեզ </t>
  </si>
  <si>
    <t xml:space="preserve">ՀՀ Արմավիրի մարզի Արևիկ համայնքում «Մոդուլային» տիպի մսուր-մանկապարտեզ </t>
  </si>
  <si>
    <t>ՀՀ Արմավիրի մարզի Այգեվան համայնքում «Մոդուլային» տիպի 144 տեղ հզորությամբ մսուր-մանկապարտեզ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</si>
  <si>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</si>
  <si>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</si>
  <si>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</si>
  <si>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</si>
  <si>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</si>
  <si>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 xml:space="preserve">ՀՀ Լոռու մարզի Սպիտակ համայնքում «Մոդուլային» տիպի 144 տեղ հզորությամբ մսուր-մանկապարտեզ 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</si>
  <si>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</si>
  <si>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</si>
  <si>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</si>
  <si>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</si>
  <si>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Վայոց ձորի մարզի Եղեգիս համայնքի Շատին բնակավայրում «Մոդուլային» տիպի 144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</si>
  <si>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</si>
  <si>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>Մարզադպրոցների գույքային և տեխնիկական ապահովվածության բարելավում</t>
  </si>
  <si>
    <t>«Ատլետիկայի օլիմպիական մանկապատանեկան մարզադպրոց» ՊՈԱԿ</t>
  </si>
  <si>
    <t>«Երևանի ծանրամարտի մանկապատանեկան մարզադպրոց» ՊՈԱԿ</t>
  </si>
  <si>
    <t>«Երևանի հրաձգության մանկապատանեկան մարզադպրոց» ՊՈԱԿ</t>
  </si>
  <si>
    <t>«Վ. Ենգիբարյանի անվան բռնցքամարտի օլիմպիական մանկապատանեկան մարզադպրոց» ՊՈԱԿ</t>
  </si>
  <si>
    <t>«Ն. Մուշեղյանի անվան ըմբշամարտի  օլիմպիական մանկապատանեկան մարզադպրոց» ՊՈԱԿ</t>
  </si>
  <si>
    <t>«Թիավարության մարզաձևերի  օլիմպիական մանկապատանեկան մարզադպրոց» ՊՈԱԿ</t>
  </si>
  <si>
    <t>«Սամբոյի և ձյուդոյի  օլիմպիական մանկապատանեկան մարզադպրոց» ՊՈԱԿ</t>
  </si>
  <si>
    <t>«Հեծանվային սպորտի  օլիմպիական մանկապատանեկան մարզադպրոց» ՊՈԱԿ</t>
  </si>
  <si>
    <t>«Հ. Շահինյանի անվան սպորտային, գեղարվեստական մարմնամարզության և ակրոբատիկայի օլիմպիական մանկապատանեկան մարզադպրոց» ՊՈԱԿ</t>
  </si>
  <si>
    <t>«Ռ. Կարապետյանի անվան մենապայքարային մարզաձևերի  օլիմպիական մանկապատանեկան մարզադպրոց» ՊՈԱԿ</t>
  </si>
  <si>
    <t>«Երևանի օլիմպիական մանկապատանեկան համալիր մարզադպրոց» ՊՈԱԿ</t>
  </si>
  <si>
    <t>«Տիգրան Պետրոսյանի անվան Շախմատի տուն-մարզադպրոց»  ՊՈԱԿ</t>
  </si>
  <si>
    <t>«Հրաձգության հանրապետական մարզադպրոց» ՊՈԱԿ</t>
  </si>
  <si>
    <t>«Խաղային մարզաձևերի օլիմպական մանկապատանեկան մարզադպրոց» ՊՈԱԿ</t>
  </si>
  <si>
    <t>«Տեխնիկական մոդելավորման հանրապետական կենտրոն» ՊՈԱԿ</t>
  </si>
  <si>
    <t>«Մանկապատանեկան հանրապետական կենտրոն» ՊՈԱԿ</t>
  </si>
  <si>
    <t>«Տեխնիկական ստեղծագործության հանրապետական» ՊՈԱԿ</t>
  </si>
  <si>
    <t>«Ընտանիք» մանկապատանեկան ստեղծագործության կենտրոն ՊՈԱԿ</t>
  </si>
  <si>
    <t>«Գեղարվեստական դաստիարակության և մշակույթի մանկապատանեկան կենտրոն» ՊՈԱԿ</t>
  </si>
  <si>
    <t>«Երեխաների հատուկ ստեղծագործական կենտրոն» ՊՈԱԿ</t>
  </si>
  <si>
    <t>«Արմավիրի մենապայքարային մարզաձևերի մանկապատանեկան մարզադպրոց» ՊՈԱԿ</t>
  </si>
  <si>
    <t>«Սևանի ջրային մարզաձևերի մանկապատանեկան մարզադպրոց» ՊՈԱԿ</t>
  </si>
  <si>
    <t>«Վանաձորի բռնցքամարտի մանկապատանեկան մարզադպրոց» ՊՈԱԿ</t>
  </si>
  <si>
    <t>«Սպիտակի մանկապատանեկան համալիր մարզադպրոց» ՊՈԱԿ</t>
  </si>
  <si>
    <t>«Հրազդանի մականախաղի և շախմատի  օլիմպիական մանկապատանեկան մարզադպրոց» ՊՈԱԿ</t>
  </si>
  <si>
    <t>«Լ. Հարությունյանի անվան Ծաղկաձորի լեռնադահուկային մանկապատանեկան մարզադպրոց» ՊՈԱԿ</t>
  </si>
  <si>
    <t>«Գյումրու մանկապատանեկան համալիր մարզադպրոց» ՊՈԱԿ</t>
  </si>
  <si>
    <t>«Գյումրու Լ. Մնացականյանի անվան ձմեռային մարզաձևերի մանկապատանեկան մարզադպրոց» ՊՈԱԿ</t>
  </si>
  <si>
    <t>«Գյումրու սուսերամարտի մանկապատանեկան մարզադպրոց» ՊՈԱԿ</t>
  </si>
  <si>
    <t>«Գյումրու ծանրամարտի մանկապատանեկան մարզադպրոց» ՊՈԱԿ</t>
  </si>
  <si>
    <t>«Գյումրու աթլետիկայի  օլիմպիական մանկապատանեկան մարզադպրոց» ՊՈԱԿ</t>
  </si>
  <si>
    <t>«Քաջարանի համալիր մանկապատանեկան մարզադպրոց» ՊՈԱԿ</t>
  </si>
  <si>
    <t>Աջակցություն համայնքներին մարզական հաստատությունների շենքային պայմանների բարելավման համար</t>
  </si>
  <si>
    <t>«Երևանի թենիսի և բադմինթոնի մանկապատանեկան մարզադպրոց» ՀՈԱԿ</t>
  </si>
  <si>
    <t>«Արթուր Ալեքսանյանի անվան հունա-հռոմեական ըմբշամարտի մանկապատանեկան դպրոց» ՀՈԱԿ</t>
  </si>
  <si>
    <t>Մարզական օբյեկտների շինարարություն</t>
  </si>
  <si>
    <t>Օլիմպիական հերթափոխի պետական  մարզական քոլեջի հանրակացարանային նոր մասնաշենք</t>
  </si>
  <si>
    <t>Հեծանվային սպորտի և Հրանտ Շահինյանի անվան  սպորտային, գեղարվեստական մարմնամարզության  և ակրոբատիկայի օլիմպիական մանկապատանեկան մարզադպրոց</t>
  </si>
  <si>
    <t>Մարզական օբյեկտների հիմնանորոգում</t>
  </si>
  <si>
    <t>Ներդրումներ թատրոնների շենքերի կապիտալ վերանորոգման համար</t>
  </si>
  <si>
    <t xml:space="preserve">Երևանի մնջախաղի պետական թատրոնի շենքի վերակառուցում </t>
  </si>
  <si>
    <t>«Ալ․ Սպենդիարյանի անվան օպերայի և բալետի ազգային ակադեմիական թատրոն» ՊՈԱԿ /հակահրդեհային/ և /ցածր լարման կայաններ/</t>
  </si>
  <si>
    <t>«Կ.Ստանիսլավսկու անվան պետական ռուսական դրամատիկական թատրոն» ՊՈԱԿ</t>
  </si>
  <si>
    <t>«Հայաստանի պետական սիմֆոնիկ նվագախումբ» ՊՈԱԿ</t>
  </si>
  <si>
    <t>«Կամերային երաժշտության ազգային կենտրոն» ՊՈԱԿ</t>
  </si>
  <si>
    <t>«Հ.Պարոնյանի անվան երաժշտական կոմեդիայի պետական թատրոն» ՊՈԱԿ</t>
  </si>
  <si>
    <t>«Հայաստանի երգի պետական թատրոն» ՊՈԱԿ</t>
  </si>
  <si>
    <t>«Սոս Սարգսյանի անվան համազգային թատրոն» ՊՈԱԿ</t>
  </si>
  <si>
    <t>«Ռյա Թազայի Ա․Ավդալի անվան միջնակարգ դպրոց» ՊՈԱԿ</t>
  </si>
  <si>
    <t>«Ապարան քաղաքի Վ.Եղիազարյանի անվան թիվ 1 հիմնական դպրոց» ՊՈԱԿ</t>
  </si>
  <si>
    <t>«Ապարանի Հ. Ոսկանյանի անվան թիվ 2 հիմնական դպրոց» ՊՈԱԿ</t>
  </si>
  <si>
    <t>«Ներքին Սասնաշենի Հ.Հովհաննիսյանի անվան միջնակարգ դպրոց» ՊՈԱԿ</t>
  </si>
  <si>
    <t>«Ափնայի միջնակարգ դպրոց» ՊՈԱԿ</t>
  </si>
  <si>
    <t>«Եղիպատրուշի միջնակարգ դպրոց» ՊՈԱԿ</t>
  </si>
  <si>
    <t>«Գեղադիրի Ռ.Խաչատրյանի անվան միջնակարգ դպրոց» ՊՈԱԿ</t>
  </si>
  <si>
    <t>«Նորաշենի Ռ. Հարությունյանի անվան միջնակարգ դպրոց» ՊՈԱԿ</t>
  </si>
  <si>
    <t>«Ուջանի Զորավար Անդրանիկի անվան միջնակարգ դպրոց» ՊՈԱԿ</t>
  </si>
  <si>
    <t>«Ծիլքարի միջնակարգ դպրոց» ՊՈԱԿ</t>
  </si>
  <si>
    <t>«Երասխի միջնակարգ դպրոց» ՊՈԱԿ</t>
  </si>
  <si>
    <t>«Տափերականի միջնակարգ դպրոց» ՊՈԱԿ</t>
  </si>
  <si>
    <t>«Սայաթ-Նովայի միջնակարգ դպրոց» ՊՈԱԿ</t>
  </si>
  <si>
    <t>«Արմաշի Մաղաքիա Օրմանյանի անվան միջնակարգ դպրոց» ՊՈԱԿ</t>
  </si>
  <si>
    <t>«Ռանչպարի միջնակարգ դպրոց» ՊՈԱԿ</t>
  </si>
  <si>
    <t>«Աբովյանի միջնակարգ դպրոց» ՊՈԱԿ</t>
  </si>
  <si>
    <t>«Արևշատի միջնակարգ դպրոց» ՊՈԱԿ</t>
  </si>
  <si>
    <t>«Զոլաքար գյուղի Ա. Վարդանյանի անվան N2 միջնակարգ դպրոց» ՊՈԱԿ</t>
  </si>
  <si>
    <t>«Վարդենիս քաղաքի թիվ 3 հիմնական դպրոց» ՊՈԱԿ</t>
  </si>
  <si>
    <t>«Վարդենիս քաղաքի Էդ. Պողոսյանի անվան N 2 հիմնական դպրոց» ՊՈԱԿ</t>
  </si>
  <si>
    <t>«Ծովինար գյուղի Ա. Խաչատրյանի անվան միջնակարգ դպրոց» ՊՈԱԿ</t>
  </si>
  <si>
    <t>«Գեղհովիտ գյուղի Ալ. Մյասնիկյանի անվան N1 միջնակարգ դպրոց» ՊՈԱԿ</t>
  </si>
  <si>
    <t>«Ծովագյուղ գյուղի Մուրացանի անվան միջնակարգ դպրոց» ՊՈԱԿ</t>
  </si>
  <si>
    <t>«Լճաշեն գյուղի Ա. Տեր-Գրիգորյանի անվան միջնակարգ դպրոց» ՊՈԱԿ</t>
  </si>
  <si>
    <t>«Վանաձորի Պաբլո Տիչինայի անվան թիվ 20 հիմնական դպրոց» ՊՈԱԿ</t>
  </si>
  <si>
    <t>«Վանաձորի Գայի անվան N21 հիմնական դպրոց» ՊՈԱԿ</t>
  </si>
  <si>
    <t>«Վանաձորի Գևորգ Չաուշի անվան N24 միջնակարգ դպրոց» ՊՈԱԿ</t>
  </si>
  <si>
    <t>«Վանաձորի Վահե Մելիքսեթյանի անվան N28 հիմնական դպրոց» ՊՈԱԿ</t>
  </si>
  <si>
    <t>«Գուգարքի հիմնական դպրոց» ՊՈԱԿ</t>
  </si>
  <si>
    <t>«Լոռի Բերդի հիմնական դպրոց» ՊՈԱԿ</t>
  </si>
  <si>
    <t>«Լեջանի միջնակարգ դպրոց» ՊՈԱԿ</t>
  </si>
  <si>
    <t>«Սպիտակի Դ. Տեր-Սիմոնյանի անվան թիվ 2 դպրոց» ՊՈԱԿ</t>
  </si>
  <si>
    <t>«Ծաթերի հիմնական դպրոց» ՊՈԱԿ</t>
  </si>
  <si>
    <t>«Աքորու միջնակարգ դպրոց» ՊՈԱԿ</t>
  </si>
  <si>
    <t>«Դարպասի միջնակարգ դպրոց» ՊՈԱԿ</t>
  </si>
  <si>
    <t>«Վանաձորի Խ. Աբովյանի անվան N9 հիմնական դպրոց» ՊՈԱԿ</t>
  </si>
  <si>
    <t>«Վանաձորի Դ. Վարուժանի անվան N16 հիմնական դպրոց» ՊՈԱԿ</t>
  </si>
  <si>
    <t>«Ալավերդու Ալ. Մյասնիկյանի անվան N7 միջնակարգ դպրոց» ՊՈԱԿ</t>
  </si>
  <si>
    <t>«Վանաձորի N8 միջնակարգ դպրոց» ՊՈԱԿ</t>
  </si>
  <si>
    <t>«Արևաշողի միջնակարգ դպրոց» ՊՈԱԿ</t>
  </si>
  <si>
    <t>«Արևածագի Կարո Մելիքսեթյանի անվան միջնակարգ դպրոց» ՊՈԱԿ</t>
  </si>
  <si>
    <t>«Բջնիի Հ.Թումանյանի անվան միջնակարգ դպրոց» ՊՈԱԿ</t>
  </si>
  <si>
    <t>«Հատիսի Վ. Վարդանյանի անվան միջնակարգ դպրոց» ՊՈԱԿ</t>
  </si>
  <si>
    <t>«Կարենիսի միջնակարգ դպրոց» ՊՈԱԿ</t>
  </si>
  <si>
    <t>«Արտավազի միջնակարգ դպրոց» ՊՈԱԿ</t>
  </si>
  <si>
    <t>«Գողթի միջնակարգ դպրոց» ՊՈԱԿ</t>
  </si>
  <si>
    <t>«Աբովյանի Վ. Համբարձումյանի անվան N 10 հիմնական դպրոց» ՊՈԱԿ</t>
  </si>
  <si>
    <t>«Գյումրու թիվ 41 հիմնական դպրոց» ՊՈԱԿ</t>
  </si>
  <si>
    <t>«Գյումրու թիվ 32 հիմնականդպրոց» ՊՈԱԿ</t>
  </si>
  <si>
    <t>«Օյունջյան միջնակարգ դպրոց-վարժարան» ՊՈԱԿ</t>
  </si>
  <si>
    <t>«Ախուրյանի թիվ 1 հիմնական դպրոց» ՊՈԱԿ</t>
  </si>
  <si>
    <t>«Կրաշենի հիմնական դպրոց» ՊՈԱԿ</t>
  </si>
  <si>
    <t>«Արևիկի միջնակարգ դպրոց» ՊՈԱԿ</t>
  </si>
  <si>
    <t>«Երազգավորսի միջնակարգ դպրոց» ՊՈԱԿ</t>
  </si>
  <si>
    <t>«Քեթիի միջնակարգ դպրոց» ՊՈԱԿ</t>
  </si>
  <si>
    <t>«Ջրառատի միջնակարգ դպրոց» ՊՈԱԿ</t>
  </si>
  <si>
    <t>«Ախուրյանի թիվ 2 հիմնական դպրոց» ՊՈԱԿ</t>
  </si>
  <si>
    <t>«Պեմզաշենի միջնակարգ դպրոց» ՊՈԱԿ</t>
  </si>
  <si>
    <t>«Բագրավանի միջնակարգ դպրոց» ՊՈԱԿ</t>
  </si>
  <si>
    <t>«Ձորաշենի միջնակարգ դպրոց» ՊՈԱԿ</t>
  </si>
  <si>
    <t>«Արփենիի միջնակարգ դպրոց» ՊՈԱԿ</t>
  </si>
  <si>
    <t>«Ցողամարգի միջնակարգ դպրոց» ՊՈԱԿ</t>
  </si>
  <si>
    <t>«Գոգհովիտի միջնակարգ դպրոց» ՊՈԱԿ</t>
  </si>
  <si>
    <t>«Զարիշատի հիմնական դպրոց» ՊՈԱԿ</t>
  </si>
  <si>
    <t>«Ալվարի միջնակարգ դպրոց» ՊՈԱԿ</t>
  </si>
  <si>
    <t>«Հողմիկի միջնակարգ դպրոց» ՊՈԱԿ</t>
  </si>
  <si>
    <t>«Գտաշենի միջնակարգ դպրոց» ՊՈԱԿ</t>
  </si>
  <si>
    <t>«Բանդիվանի միջնակարգ դպրոց» ՊՈԱԿ</t>
  </si>
  <si>
    <t>«Աչաջրի Հ.Թամրազյանի անվ. միջնակարգ դպրոց» ՊՈԱԿ</t>
  </si>
  <si>
    <t>«Իջևանի թիվ 3 հիմնական դպրոց» ՊՈԱԿ</t>
  </si>
  <si>
    <t>«Դիլիջանի թիվ 4 հիմնական դպրոց» ՊՈԱԿ</t>
  </si>
  <si>
    <t>«Բերդի թիվ 3 միջնակարգ դպրոց» ՊՈԱԿ</t>
  </si>
  <si>
    <t>«Այրումի Հարություն Մալինյանի անվան միջնակարգ դպրոց» ՊՈԱԿ</t>
  </si>
  <si>
    <t>«Արճիսի միջնակարգ դպրոց» ՊՈԱԿ</t>
  </si>
  <si>
    <t>«Բագրատաշենի թիվ 1 միջնակարգ դպրոց» ՊՈԱԿ</t>
  </si>
  <si>
    <t>«Լճկաձորի հիմնական դպրոց» ՊՈԱԿ</t>
  </si>
  <si>
    <t>«Դեղձավանի հիմնական դպրոց» ՊՈԱԿ</t>
  </si>
  <si>
    <t>«Այգեձորի միջնակարգ դպրոց» ՊՈԱԿ</t>
  </si>
  <si>
    <t>«Գետահովիտի միջնակարգ դպրոց» ՊՈԱԿ</t>
  </si>
  <si>
    <t>«Ն. Գետաշենի թիվ 1 հիմնական դպրոց»</t>
  </si>
  <si>
    <t>«Ն. Գետաշենի թիվ 1 միջնակարգ դպրոց»</t>
  </si>
  <si>
    <t>«Լուսակնի միջնակարգ դպրոց» ՀՈԱԿ</t>
  </si>
  <si>
    <t>«Գառնահովիտի  միջնակարգ դպրոց» ՊՈԱԿ</t>
  </si>
  <si>
    <t>«Դեղձուտի միջնակարգ դպրոց» ՊՈԱԿ</t>
  </si>
  <si>
    <t>ՀՀ Արմավիր մարզ</t>
  </si>
  <si>
    <t>«Արգինայի միջնակարգ դպրոց» ՊՈԱԿ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</si>
  <si>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</si>
  <si>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</si>
  <si>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</si>
  <si>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«Մեդովկայի միջնակարգ դպրոց» ՊՈԱԿ</t>
  </si>
  <si>
    <t>«Հագվու հիմնական դպրոց» ՊՈԱԿ</t>
  </si>
  <si>
    <t>«Կաթնաղբյուրի հիմնական դպրոց» ՊՈԱԿ</t>
  </si>
  <si>
    <t>«Բերդաշենի միջնակարգ դպրոց» ՊՈԱԿ</t>
  </si>
  <si>
    <t>«Արեգնադեմի միջնակարգ դպրոց» ՊՈԱԿ</t>
  </si>
  <si>
    <t>«Կապսի միջնակարգ դպրոց» ՊՈԱԿ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</si>
  <si>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</si>
  <si>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</si>
  <si>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</si>
  <si>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«Վերին Խոտանանի միջնակարգ դպրոց» ՊՈԱԿ</t>
  </si>
  <si>
    <t>«Դավիթ Բեկի միջնակարգ դպրոց» ՊՈԱԿ</t>
  </si>
  <si>
    <t>«Աճանանի միջնակարգ դպրոց» ՊՈԱԿ</t>
  </si>
  <si>
    <t>«Օխտարի միջնակարգ դպրոց» ՊՈԱԿ</t>
  </si>
  <si>
    <t>«Արծվանիկի միջնակարգ դպրոց» ՊՈԱԿ</t>
  </si>
  <si>
    <t>«Գեղանուշի միջնակարգ դպրոց» ՊՈԱԿ</t>
  </si>
  <si>
    <t>«Սյունիքի միջնակարգ դպրոց» ՊՈԱԿ</t>
  </si>
  <si>
    <t>«Եղեգի միջնակարգ դպրոց» ՊՈԱԿ</t>
  </si>
  <si>
    <t>«Ծավի միջնակարգ դպրոց» ՊՈԱԿ</t>
  </si>
  <si>
    <t>«Ճակատենի հիմնական դպրոց» ՊՈԱԿ</t>
  </si>
  <si>
    <t>«Ներքին Հանդի հիմնական դպրոց» ՊՈԱԿ</t>
  </si>
  <si>
    <t>«Շիկահողի միջնակարգ դպրոց» ՊՈԱԿ</t>
  </si>
  <si>
    <t>«Եղեգիսի միջնակարգ դպրոց» ՊՈԱԿ</t>
  </si>
  <si>
    <t>«Գոմքի միջնակարգ դպրոց» ՊՈԱԿ</t>
  </si>
  <si>
    <t>«Չիվայի միջնակարգ դպրոց» ՊՈԱԿ</t>
  </si>
  <si>
    <t>«Կիրանցի հիմնական դպրոց» ՊՈԱԿ</t>
  </si>
  <si>
    <t>«գ. Դովեղի միջնակարգ դպրոց» ՊՈԱԿ</t>
  </si>
  <si>
    <t>Ավագ մակարդակի կրթություն իրականացնող ուսումնական հաստատությունների շենքային պայմանների բարելավում</t>
  </si>
  <si>
    <t>«Գյումրու «Ֆոտոն» վարժարան» ՊՈԱԿ</t>
  </si>
  <si>
    <t xml:space="preserve">«Երևանի Միքայել Նալբանդյանի անվան հ.33 հիմնական դպրոց» ՊՈԱԿ </t>
  </si>
  <si>
    <t xml:space="preserve">«Երևանի Ա. Երզնկյանի անվան հ. 118 ավագ դպրոց» ՊՈԱԿ  </t>
  </si>
  <si>
    <t xml:space="preserve">«Երևանի Սիլվա Կապուտիկյանի անվան հ. 145 հիմնական դպրոց» ՊՈԱԿ </t>
  </si>
  <si>
    <t xml:space="preserve">«Ալագյազի միջնակարգ դպրոց» ՊՈԱԿ  </t>
  </si>
  <si>
    <t xml:space="preserve">«Թալինի ավագ դպրոց» ՊՈԱԿ </t>
  </si>
  <si>
    <t xml:space="preserve">«Արտիմետի միջնակարգ դպրոց» ՊՈԱԿ  </t>
  </si>
  <si>
    <t xml:space="preserve">«Վաղարշապատի Երվանդ Օտյանի անվան N 7 հիմնական դպրոց» ՊՈԱԿ  </t>
  </si>
  <si>
    <t xml:space="preserve">«Արմավիրի N 6 հիմնական դպրոց» ՊՈԱԿ  </t>
  </si>
  <si>
    <t>«Գագարինի միջնակարգ դպրոց» ՊՈԱԿ</t>
  </si>
  <si>
    <t>«Վանաձորի Խ. Աբովյանի անվան թիվ 9 հիմնական դպրոց» ՊՈԱԿ</t>
  </si>
  <si>
    <t xml:space="preserve">«Վանաձորի Ծովակալ Իսակովի  անվան թիվ 23 հիմնական դպրոց» ՊՈԱԿ </t>
  </si>
  <si>
    <t xml:space="preserve">«Ստեփանավանի N1 վարժարան» ՊՈԱԿ  </t>
  </si>
  <si>
    <t xml:space="preserve">«Ագարակի միջնակարգ դպրոց» ՊՈԱԿ  </t>
  </si>
  <si>
    <t xml:space="preserve">«Վարդաբլուրի միջնակարգ դպրոց» ՊՈԱԿ  </t>
  </si>
  <si>
    <t>«Երևանի Վ. Թեքեյանի անվան թիվ 92 հիմնական դպրոց» ՊՈԱԿ</t>
  </si>
  <si>
    <t>«Երևանի թիվ 37 հիմնական դպրոց» ՊՈԱԿ</t>
  </si>
  <si>
    <t>«Երևանի թիվ 136 հիմնական դպրոց» ՊՈԱԿ</t>
  </si>
  <si>
    <t xml:space="preserve">«Շահումյանի միջնակարգ դպրոց» ՊՈԱԿ </t>
  </si>
  <si>
    <t xml:space="preserve">«Փշատավանի միջնակարգ դպրոց» ՊՈԱԿ </t>
  </si>
  <si>
    <t>«Սարդարապատի միջնակարգ դպրոց» ՊՈԱԿ</t>
  </si>
  <si>
    <t xml:space="preserve">«Արմավիրի հ. 8 հիմնական դպրոց» ՊՈԱԿ </t>
  </si>
  <si>
    <t xml:space="preserve">«Գեղարքունիքի մարզի Ակունք գյուղի միջնակարգ դպրոց» ՊՈԱԿ </t>
  </si>
  <si>
    <t xml:space="preserve">«Վերին Գետաշենի թիվ 2 միջնակարգ դպրոց» ՊՈԱԿ </t>
  </si>
  <si>
    <t>«Վանաձորի Ղևոնդ Ալիշանի անվան N 27 հիմնական դպրոց» ՊՈԱԿ</t>
  </si>
  <si>
    <t>«Ալավերդու N 12 հիմնական դպրոց» ՊՈԱԿ</t>
  </si>
  <si>
    <t>Հանրակրթական դպրոցների գույքով և տեխնիկայով ապահովում</t>
  </si>
  <si>
    <t>«Մ. Խորենացու անվան թիվ 143 հիմնական դպրոց» ՊՈԱԿ</t>
  </si>
  <si>
    <t>ՀՀ վիճակագրական կոմիտեի տեխնիկական կարողությունների զարգացում</t>
  </si>
  <si>
    <t>Պռոշյան փողոց 1-ին փակուղի 20 հասցեում գտնվող վարչական շենքին կից շինության 2-րդ հարկի կառուցում</t>
  </si>
  <si>
    <t>Ազգային անվտանգության համակարգի տրանսպորտային սարքավորումների հագեցվածության բարելավում</t>
  </si>
  <si>
    <t>Երևանի Աջափնյակ համայնքի Արա Սարգսյան 5/1 հասցեում տեղակայված շենքի վերակառուցում</t>
  </si>
  <si>
    <t>Երևան  քաղաքի Թբիլիսյան խճուղի 3/9 ի հասցեում տեղակայված շենքի կապիտալ վերանորոգում</t>
  </si>
  <si>
    <t>Տարեկան պլան¹</t>
  </si>
  <si>
    <t xml:space="preserve">Տարեկան ճշտված պլան² 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</si>
  <si>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</si>
  <si>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</si>
  <si>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>Ընդամենը,</t>
  </si>
  <si>
    <t>այդ թվում՝</t>
  </si>
  <si>
    <t>Ծրագիր</t>
  </si>
  <si>
    <t>ՀԱՇՎԵՏՎՈՒԹՅՈՒՆ</t>
  </si>
  <si>
    <t>Միասնական սոցիալական ծառայության կարողությունների զարգացում և տեխնիկական հագեցվածության ապահովում</t>
  </si>
  <si>
    <t xml:space="preserve">² Հաշվի են առնված հաշվետու ժամանակաշրջանում օրենսդրության համաձայն  կատարված փոփոխությունները:       </t>
  </si>
  <si>
    <t xml:space="preserve">¹ Հաստատված է «Հայաստանի Հանրապետության 2022 թվականի պետական բյուջեի մասին» Հայաստանի Հանրապետության օրենքով:                    </t>
  </si>
  <si>
    <t>Հազար դրամ</t>
  </si>
  <si>
    <t>2 Հանրապետական նշանակության ավտոճանապարհներ</t>
  </si>
  <si>
    <t>3 Մարզային նշանակության ավտոճանապարհներ</t>
  </si>
  <si>
    <t>Ապարանի Բաղրամյան 43 հասցեում գտնվող  վթարային շենքի փոխարեն նոր բնակելի շենքի կառուցում</t>
  </si>
  <si>
    <t xml:space="preserve"> </t>
  </si>
  <si>
    <t>ՀՀ պետական եկամուտների կոմիտեի  շենքային պայմաններով ապահովում</t>
  </si>
  <si>
    <t xml:space="preserve">Մասիսի տարածաշրջանի ինքնաշատրվոնղ հորերի փականներով և ջրաչափերով կահավորելու աշխատանքներ </t>
  </si>
  <si>
    <t xml:space="preserve"> Մ-7, Մ-3-Սպիտակ-Գյումրի-Թուրքիայի սահման</t>
  </si>
  <si>
    <t>Հ-1 Վ.Պտղնու տրանսպորտային հանգույց-Ջրաբեր-Հրազդան -Հրազդանի  քրեակատարողական հիմնարկ հանրապետկան նշանկության ավտոճանապարհի կմ 21+700-կմ24+000 հատվածի հիմնանորոգում</t>
  </si>
  <si>
    <t xml:space="preserve">Հ-1 Վ.Պտղնու տրանսպորտային հանգույց-Ջրաբեր-Հրազդան -Հրազդանի  քրեակատարողական հիմնարկ հանրապետկան նշանկության ավտոճանապարհի կմ 33+500-կմ37+700 հատվածի հիմնանորոգում </t>
  </si>
  <si>
    <t>Տ-8-52 տեղական  նշանակության ավտոճանապարհնեի կմ8+100-կմ 10+ 400(Տ-8-48-ի հետ հատման կետ) և  Տ-8-48 տեղական  նշանակության ճանապարհի կմ 5+600-կմ  11+200 (Տ-8-49-ի հետ հատման կետ) հատվածների անցանելիույան ապահովում և ոլորանների պարամետրերի  բարելավում</t>
  </si>
  <si>
    <t>Հրազդան քաղաքի Վանատուր թաղամասի միջթաղամասային փողոցների 3384գծ. Մ (626 գծ. մ, 310 գծ. մ, 176գծ. մ, 1235գծ.մ, 950գծ.մ և 87 գծ.մ) հատվածների հիմնանորոգում</t>
  </si>
  <si>
    <t xml:space="preserve"> Մ-6-Եղեգնուտ-Դեբետ ավտոճանապարհի կմ0+000-կմ7+183 հատվածի հիմնանորոգում</t>
  </si>
  <si>
    <t>Գյումրի համայնքի օղակային փողոցի կմ0+000-կմ2+500 (Մ-7-ի-հետ հատման կետ) հատվածի հիմնանորոգում</t>
  </si>
  <si>
    <t>Վանաձոր քաղաքային համայնքի Նարեկացի փողոց-Կոմիտաս վարդապետ Հրապարակի հիմնանորոգում</t>
  </si>
  <si>
    <t>Երևանի մետրոպոլիտենի ենթակառուցվածքների նորոգում</t>
  </si>
  <si>
    <t>Մարզերում առաջնահերթ լուծում պահանջող հիմնախնդիրների լուծում</t>
  </si>
  <si>
    <t>Քրեակատարողական ծառայության տրանսպորտային միջոցներով ապահովվածության բարելավում</t>
  </si>
  <si>
    <t xml:space="preserve"> Լեզվի կոմիտեի կարողությունների զարգացում և տեխնիկական հագեցվածության ապահովում</t>
  </si>
  <si>
    <t xml:space="preserve">ՀՀ ոստիկանության կարիքի բավարարում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</si>
</sst>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#,##0.0_);[Red]\(#,##0.0\)"/>
    <numFmt numFmtId="168" formatCode="_(* #,##0.0_);_(* \(#,##0.0\);_(* &quot;-&quot;??_);_(@_)"/>
    <numFmt numFmtId="169" formatCode="0.0%"/>
  </numFmts>
  <fonts count="62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8"/>
      <name val="GHEA Grapalat"/>
      <family val="2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u/>
      <sz val="11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18"/>
      <color theme="1"/>
      <name val="GHEA Grapalat"/>
      <family val="3"/>
    </font>
    <font>
      <sz val="9"/>
      <name val="GHEA Grapalat"/>
      <family val="3"/>
    </font>
    <font>
      <b/>
      <sz val="16"/>
      <color theme="1"/>
      <name val="GHEA Grapalat"/>
      <family val="3"/>
    </font>
    <font>
      <sz val="16"/>
      <color theme="1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7" fillId="0" borderId="0"/>
    <xf numFmtId="0" fontId="13" fillId="2" borderId="0" applyNumberFormat="0" applyBorder="0" applyAlignment="0" applyProtection="0"/>
    <xf numFmtId="0" fontId="11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1" applyNumberFormat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1" fontId="31" fillId="0" borderId="0"/>
    <xf numFmtId="1" fontId="31" fillId="0" borderId="0"/>
    <xf numFmtId="1" fontId="31" fillId="0" borderId="0"/>
    <xf numFmtId="0" fontId="6" fillId="0" borderId="0"/>
    <xf numFmtId="0" fontId="9" fillId="0" borderId="0"/>
    <xf numFmtId="0" fontId="9" fillId="0" borderId="0"/>
    <xf numFmtId="0" fontId="7" fillId="24" borderId="7" applyNumberFormat="0" applyFont="0" applyAlignment="0" applyProtection="0"/>
    <xf numFmtId="0" fontId="26" fillId="21" borderId="8" applyNumberFormat="0" applyAlignment="0" applyProtection="0"/>
    <xf numFmtId="0" fontId="30" fillId="0" borderId="0"/>
    <xf numFmtId="0" fontId="30" fillId="0" borderId="0"/>
    <xf numFmtId="0" fontId="30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2" fillId="0" borderId="0"/>
    <xf numFmtId="1" fontId="31" fillId="0" borderId="0"/>
    <xf numFmtId="0" fontId="30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32" fillId="0" borderId="0" applyFill="0" applyBorder="0" applyProtection="0">
      <alignment horizontal="right" vertical="top"/>
    </xf>
    <xf numFmtId="0" fontId="7" fillId="0" borderId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6" fillId="21" borderId="1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11" borderId="1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24" borderId="17" applyNumberFormat="0" applyFont="0" applyAlignment="0" applyProtection="0"/>
    <xf numFmtId="0" fontId="26" fillId="21" borderId="18" applyNumberFormat="0" applyAlignment="0" applyProtection="0"/>
    <xf numFmtId="0" fontId="28" fillId="0" borderId="19" applyNumberFormat="0" applyFill="0" applyAlignment="0" applyProtection="0"/>
    <xf numFmtId="9" fontId="7" fillId="0" borderId="0" applyFont="0" applyFill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9" fillId="27" borderId="0" applyNumberFormat="0" applyBorder="0" applyAlignment="0" applyProtection="0"/>
    <xf numFmtId="0" fontId="50" fillId="28" borderId="0" applyNumberFormat="0" applyBorder="0" applyAlignment="0" applyProtection="0"/>
    <xf numFmtId="0" fontId="51" fillId="2" borderId="0" applyNumberFormat="0" applyBorder="0" applyAlignment="0" applyProtection="0"/>
    <xf numFmtId="0" fontId="52" fillId="29" borderId="26" applyNumberFormat="0" applyAlignment="0" applyProtection="0"/>
    <xf numFmtId="0" fontId="53" fillId="30" borderId="27" applyNumberFormat="0" applyAlignment="0" applyProtection="0"/>
    <xf numFmtId="0" fontId="54" fillId="30" borderId="26" applyNumberFormat="0" applyAlignment="0" applyProtection="0"/>
    <xf numFmtId="0" fontId="55" fillId="0" borderId="28" applyNumberFormat="0" applyFill="0" applyAlignment="0" applyProtection="0"/>
    <xf numFmtId="0" fontId="56" fillId="31" borderId="29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1" applyNumberFormat="0" applyFill="0" applyAlignment="0" applyProtection="0"/>
    <xf numFmtId="0" fontId="6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0" fillId="5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1" fillId="0" borderId="0" applyNumberFormat="0" applyFill="0" applyBorder="0" applyAlignment="0" applyProtection="0"/>
    <xf numFmtId="0" fontId="32" fillId="0" borderId="0">
      <alignment horizontal="left" vertical="top" wrapText="1"/>
    </xf>
    <xf numFmtId="0" fontId="2" fillId="32" borderId="3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3" fillId="25" borderId="10" xfId="0" applyFont="1" applyFill="1" applyBorder="1" applyAlignment="1">
      <alignment horizontal="left" vertical="top" wrapText="1"/>
    </xf>
    <xf numFmtId="0" fontId="34" fillId="25" borderId="10" xfId="0" applyFont="1" applyFill="1" applyBorder="1" applyAlignment="1">
      <alignment horizontal="left" vertical="top" wrapText="1"/>
    </xf>
    <xf numFmtId="0" fontId="35" fillId="25" borderId="15" xfId="0" applyFont="1" applyFill="1" applyBorder="1" applyAlignment="1">
      <alignment horizontal="left" vertical="top" wrapText="1"/>
    </xf>
    <xf numFmtId="0" fontId="36" fillId="25" borderId="10" xfId="0" applyFont="1" applyFill="1" applyBorder="1" applyAlignment="1">
      <alignment horizontal="left" vertical="top" wrapText="1"/>
    </xf>
    <xf numFmtId="168" fontId="33" fillId="25" borderId="11" xfId="1" applyNumberFormat="1" applyFont="1" applyFill="1" applyBorder="1" applyAlignment="1">
      <alignment horizontal="right" vertical="top" wrapText="1"/>
    </xf>
    <xf numFmtId="168" fontId="33" fillId="25" borderId="15" xfId="1" applyNumberFormat="1" applyFont="1" applyFill="1" applyBorder="1" applyAlignment="1">
      <alignment horizontal="right" vertical="top" wrapText="1"/>
    </xf>
    <xf numFmtId="168" fontId="33" fillId="25" borderId="10" xfId="1" applyNumberFormat="1" applyFont="1" applyFill="1" applyBorder="1" applyAlignment="1">
      <alignment horizontal="right" vertical="top" wrapText="1"/>
    </xf>
    <xf numFmtId="0" fontId="37" fillId="25" borderId="0" xfId="0" applyFont="1" applyFill="1" applyAlignment="1">
      <alignment horizontal="center" vertical="center" wrapText="1"/>
    </xf>
    <xf numFmtId="0" fontId="37" fillId="25" borderId="0" xfId="0" applyFont="1" applyFill="1" applyAlignment="1">
      <alignment vertical="center" wrapText="1"/>
    </xf>
    <xf numFmtId="165" fontId="37" fillId="25" borderId="0" xfId="0" applyNumberFormat="1" applyFont="1" applyFill="1" applyAlignment="1">
      <alignment vertical="center" wrapText="1"/>
    </xf>
    <xf numFmtId="164" fontId="38" fillId="25" borderId="0" xfId="0" applyNumberFormat="1" applyFont="1" applyFill="1" applyAlignment="1">
      <alignment horizontal="centerContinuous" vertical="center" wrapText="1"/>
    </xf>
    <xf numFmtId="164" fontId="39" fillId="25" borderId="0" xfId="0" applyNumberFormat="1" applyFont="1" applyFill="1" applyAlignment="1">
      <alignment horizontal="right" vertical="center" wrapText="1"/>
    </xf>
    <xf numFmtId="164" fontId="39" fillId="25" borderId="0" xfId="0" applyNumberFormat="1" applyFont="1" applyFill="1" applyAlignment="1">
      <alignment horizontal="centerContinuous" vertical="center" wrapText="1"/>
    </xf>
    <xf numFmtId="0" fontId="37" fillId="25" borderId="0" xfId="0" applyFont="1" applyFill="1" applyAlignment="1">
      <alignment horizontal="centerContinuous" vertical="center" wrapText="1"/>
    </xf>
    <xf numFmtId="165" fontId="37" fillId="25" borderId="0" xfId="0" applyNumberFormat="1" applyFont="1" applyFill="1" applyAlignment="1">
      <alignment horizontal="centerContinuous" vertical="center" wrapText="1"/>
    </xf>
    <xf numFmtId="0" fontId="39" fillId="25" borderId="0" xfId="0" applyNumberFormat="1" applyFont="1" applyFill="1" applyAlignment="1">
      <alignment horizontal="centerContinuous" vertical="center" wrapText="1"/>
    </xf>
    <xf numFmtId="0" fontId="39" fillId="25" borderId="0" xfId="0" applyNumberFormat="1" applyFont="1" applyFill="1" applyAlignment="1">
      <alignment horizontal="center" vertical="center" wrapText="1"/>
    </xf>
    <xf numFmtId="49" fontId="39" fillId="25" borderId="11" xfId="0" applyNumberFormat="1" applyFont="1" applyFill="1" applyBorder="1" applyAlignment="1">
      <alignment horizontal="center" vertical="center" textRotation="90" wrapText="1"/>
    </xf>
    <xf numFmtId="49" fontId="39" fillId="25" borderId="15" xfId="0" applyNumberFormat="1" applyFont="1" applyFill="1" applyBorder="1" applyAlignment="1">
      <alignment horizontal="center" vertical="center" textRotation="90" wrapText="1"/>
    </xf>
    <xf numFmtId="164" fontId="39" fillId="25" borderId="15" xfId="0" applyNumberFormat="1" applyFont="1" applyFill="1" applyBorder="1" applyAlignment="1">
      <alignment horizontal="center" vertical="center" wrapText="1"/>
    </xf>
    <xf numFmtId="164" fontId="39" fillId="25" borderId="10" xfId="0" applyNumberFormat="1" applyFont="1" applyFill="1" applyBorder="1" applyAlignment="1">
      <alignment horizontal="center" vertical="center" wrapText="1"/>
    </xf>
    <xf numFmtId="165" fontId="39" fillId="25" borderId="15" xfId="1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left" vertical="top" textRotation="90" wrapText="1"/>
    </xf>
    <xf numFmtId="49" fontId="33" fillId="25" borderId="15" xfId="0" applyNumberFormat="1" applyFont="1" applyFill="1" applyBorder="1" applyAlignment="1">
      <alignment horizontal="left" vertical="top" textRotation="90" wrapText="1"/>
    </xf>
    <xf numFmtId="0" fontId="33" fillId="25" borderId="10" xfId="0" applyNumberFormat="1" applyFont="1" applyFill="1" applyBorder="1" applyAlignment="1">
      <alignment horizontal="left" vertical="top" wrapText="1"/>
    </xf>
    <xf numFmtId="169" fontId="33" fillId="25" borderId="11" xfId="111" applyNumberFormat="1" applyFont="1" applyFill="1" applyBorder="1" applyAlignment="1">
      <alignment horizontal="right" vertical="top" wrapText="1"/>
    </xf>
    <xf numFmtId="169" fontId="33" fillId="25" borderId="15" xfId="111" applyNumberFormat="1" applyFont="1" applyFill="1" applyBorder="1" applyAlignment="1">
      <alignment horizontal="right" vertical="top" wrapText="1"/>
    </xf>
    <xf numFmtId="0" fontId="36" fillId="25" borderId="10" xfId="0" applyNumberFormat="1" applyFont="1" applyFill="1" applyBorder="1" applyAlignment="1">
      <alignment horizontal="left" vertical="top" wrapText="1"/>
    </xf>
    <xf numFmtId="169" fontId="36" fillId="25" borderId="11" xfId="111" applyNumberFormat="1" applyFont="1" applyFill="1" applyBorder="1" applyAlignment="1">
      <alignment horizontal="right" vertical="top" wrapText="1"/>
    </xf>
    <xf numFmtId="169" fontId="36" fillId="25" borderId="15" xfId="111" applyNumberFormat="1" applyFont="1" applyFill="1" applyBorder="1" applyAlignment="1">
      <alignment horizontal="right" vertical="top" wrapText="1"/>
    </xf>
    <xf numFmtId="0" fontId="33" fillId="25" borderId="11" xfId="0" applyFont="1" applyFill="1" applyBorder="1" applyAlignment="1">
      <alignment horizontal="left" vertical="top" wrapText="1"/>
    </xf>
    <xf numFmtId="0" fontId="39" fillId="25" borderId="0" xfId="0" applyFont="1" applyFill="1" applyAlignment="1">
      <alignment horizontal="center" vertical="center" wrapText="1"/>
    </xf>
    <xf numFmtId="0" fontId="36" fillId="25" borderId="11" xfId="0" applyFont="1" applyFill="1" applyBorder="1" applyAlignment="1">
      <alignment horizontal="left" vertical="top" wrapText="1"/>
    </xf>
    <xf numFmtId="0" fontId="36" fillId="25" borderId="15" xfId="0" applyFont="1" applyFill="1" applyBorder="1" applyAlignment="1">
      <alignment horizontal="left" vertical="top" wrapText="1"/>
    </xf>
    <xf numFmtId="168" fontId="36" fillId="25" borderId="11" xfId="1" applyNumberFormat="1" applyFont="1" applyFill="1" applyBorder="1" applyAlignment="1">
      <alignment horizontal="right" vertical="top" wrapText="1"/>
    </xf>
    <xf numFmtId="168" fontId="36" fillId="25" borderId="15" xfId="1" applyNumberFormat="1" applyFont="1" applyFill="1" applyBorder="1" applyAlignment="1">
      <alignment horizontal="right" vertical="top" wrapText="1"/>
    </xf>
    <xf numFmtId="168" fontId="36" fillId="25" borderId="10" xfId="1" applyNumberFormat="1" applyFont="1" applyFill="1" applyBorder="1" applyAlignment="1">
      <alignment horizontal="right" vertical="top" wrapText="1"/>
    </xf>
    <xf numFmtId="0" fontId="39" fillId="25" borderId="0" xfId="0" applyFont="1" applyFill="1" applyAlignment="1">
      <alignment vertical="center" wrapText="1"/>
    </xf>
    <xf numFmtId="168" fontId="36" fillId="25" borderId="15" xfId="1" applyNumberFormat="1" applyFont="1" applyFill="1" applyBorder="1" applyAlignment="1">
      <alignment horizontal="right" vertical="top"/>
    </xf>
    <xf numFmtId="167" fontId="33" fillId="25" borderId="10" xfId="14" applyNumberFormat="1" applyFont="1" applyFill="1" applyBorder="1" applyAlignment="1">
      <alignment horizontal="left" vertical="top" wrapText="1"/>
    </xf>
    <xf numFmtId="0" fontId="36" fillId="25" borderId="10" xfId="55" applyNumberFormat="1" applyFont="1" applyFill="1" applyBorder="1" applyAlignment="1">
      <alignment horizontal="left" vertical="top" wrapText="1"/>
    </xf>
    <xf numFmtId="167" fontId="36" fillId="25" borderId="10" xfId="76" applyNumberFormat="1" applyFont="1" applyFill="1" applyBorder="1" applyAlignment="1">
      <alignment horizontal="left" vertical="top" wrapText="1"/>
    </xf>
    <xf numFmtId="0" fontId="36" fillId="25" borderId="10" xfId="59" applyFont="1" applyFill="1" applyBorder="1" applyAlignment="1">
      <alignment horizontal="left" vertical="top" wrapText="1"/>
    </xf>
    <xf numFmtId="167" fontId="36" fillId="25" borderId="10" xfId="14" applyNumberFormat="1" applyFont="1" applyFill="1" applyBorder="1" applyAlignment="1">
      <alignment horizontal="left" vertical="top" wrapText="1"/>
    </xf>
    <xf numFmtId="167" fontId="36" fillId="25" borderId="10" xfId="2" applyNumberFormat="1" applyFont="1" applyFill="1" applyBorder="1" applyAlignment="1">
      <alignment horizontal="left" vertical="top" wrapText="1"/>
    </xf>
    <xf numFmtId="168" fontId="33" fillId="25" borderId="15" xfId="1" applyNumberFormat="1" applyFont="1" applyFill="1" applyBorder="1" applyAlignment="1">
      <alignment horizontal="right" vertical="top"/>
    </xf>
    <xf numFmtId="168" fontId="33" fillId="25" borderId="10" xfId="1" applyNumberFormat="1" applyFont="1" applyFill="1" applyBorder="1" applyAlignment="1">
      <alignment horizontal="right" vertical="top"/>
    </xf>
    <xf numFmtId="167" fontId="33" fillId="25" borderId="10" xfId="2" applyNumberFormat="1" applyFont="1" applyFill="1" applyBorder="1" applyAlignment="1">
      <alignment horizontal="left" vertical="top" wrapText="1"/>
    </xf>
    <xf numFmtId="0" fontId="33" fillId="25" borderId="10" xfId="55" applyNumberFormat="1" applyFont="1" applyFill="1" applyBorder="1" applyAlignment="1">
      <alignment horizontal="left" vertical="top" wrapText="1"/>
    </xf>
    <xf numFmtId="0" fontId="36" fillId="26" borderId="10" xfId="0" applyFont="1" applyFill="1" applyBorder="1" applyAlignment="1">
      <alignment horizontal="left" vertical="top" wrapText="1"/>
    </xf>
    <xf numFmtId="0" fontId="36" fillId="25" borderId="10" xfId="75" applyFont="1" applyFill="1" applyBorder="1" applyAlignment="1">
      <alignment horizontal="left" vertical="top" wrapText="1"/>
    </xf>
    <xf numFmtId="167" fontId="40" fillId="25" borderId="10" xfId="14" applyNumberFormat="1" applyFont="1" applyFill="1" applyBorder="1" applyAlignment="1">
      <alignment horizontal="left" vertical="top" wrapText="1"/>
    </xf>
    <xf numFmtId="168" fontId="36" fillId="25" borderId="10" xfId="1" applyNumberFormat="1" applyFont="1" applyFill="1" applyBorder="1" applyAlignment="1">
      <alignment horizontal="right" vertical="top"/>
    </xf>
    <xf numFmtId="0" fontId="40" fillId="25" borderId="10" xfId="0" applyFont="1" applyFill="1" applyBorder="1" applyAlignment="1">
      <alignment horizontal="left" vertical="top" wrapText="1"/>
    </xf>
    <xf numFmtId="168" fontId="40" fillId="25" borderId="11" xfId="1" applyNumberFormat="1" applyFont="1" applyFill="1" applyBorder="1" applyAlignment="1">
      <alignment horizontal="right" vertical="top" wrapText="1"/>
    </xf>
    <xf numFmtId="168" fontId="40" fillId="25" borderId="15" xfId="1" applyNumberFormat="1" applyFont="1" applyFill="1" applyBorder="1" applyAlignment="1">
      <alignment horizontal="right" vertical="top" wrapText="1"/>
    </xf>
    <xf numFmtId="168" fontId="40" fillId="25" borderId="10" xfId="1" applyNumberFormat="1" applyFont="1" applyFill="1" applyBorder="1" applyAlignment="1">
      <alignment horizontal="right" vertical="top" wrapText="1"/>
    </xf>
    <xf numFmtId="168" fontId="40" fillId="25" borderId="15" xfId="1" applyNumberFormat="1" applyFont="1" applyFill="1" applyBorder="1" applyAlignment="1">
      <alignment horizontal="right" vertical="top"/>
    </xf>
    <xf numFmtId="168" fontId="40" fillId="25" borderId="10" xfId="1" applyNumberFormat="1" applyFont="1" applyFill="1" applyBorder="1" applyAlignment="1">
      <alignment horizontal="right" vertical="top"/>
    </xf>
    <xf numFmtId="0" fontId="41" fillId="25" borderId="0" xfId="0" applyFont="1" applyFill="1" applyAlignment="1">
      <alignment vertical="center" wrapText="1"/>
    </xf>
    <xf numFmtId="49" fontId="36" fillId="25" borderId="10" xfId="0" applyNumberFormat="1" applyFont="1" applyFill="1" applyBorder="1" applyAlignment="1">
      <alignment horizontal="left" vertical="top" wrapText="1"/>
    </xf>
    <xf numFmtId="168" fontId="36" fillId="25" borderId="15" xfId="1" applyNumberFormat="1" applyFont="1" applyFill="1" applyBorder="1" applyAlignment="1" applyProtection="1">
      <alignment horizontal="right" vertical="top" wrapText="1"/>
      <protection locked="0"/>
    </xf>
    <xf numFmtId="0" fontId="33" fillId="25" borderId="14" xfId="0" applyFont="1" applyFill="1" applyBorder="1" applyAlignment="1">
      <alignment horizontal="left" vertical="top" wrapText="1"/>
    </xf>
    <xf numFmtId="168" fontId="33" fillId="25" borderId="12" xfId="1" applyNumberFormat="1" applyFont="1" applyFill="1" applyBorder="1" applyAlignment="1">
      <alignment horizontal="right" vertical="top" wrapText="1"/>
    </xf>
    <xf numFmtId="168" fontId="33" fillId="25" borderId="13" xfId="1" applyNumberFormat="1" applyFont="1" applyFill="1" applyBorder="1" applyAlignment="1">
      <alignment horizontal="right" vertical="top" wrapText="1"/>
    </xf>
    <xf numFmtId="168" fontId="33" fillId="25" borderId="14" xfId="1" applyNumberFormat="1" applyFont="1" applyFill="1" applyBorder="1" applyAlignment="1">
      <alignment horizontal="right" vertical="top" wrapText="1"/>
    </xf>
    <xf numFmtId="0" fontId="36" fillId="25" borderId="0" xfId="0" applyFont="1" applyFill="1" applyAlignment="1">
      <alignment vertical="center" wrapText="1"/>
    </xf>
    <xf numFmtId="168" fontId="36" fillId="25" borderId="0" xfId="1" applyNumberFormat="1" applyFont="1" applyFill="1" applyAlignment="1">
      <alignment vertical="center" wrapText="1"/>
    </xf>
    <xf numFmtId="168" fontId="37" fillId="25" borderId="0" xfId="1" applyNumberFormat="1" applyFont="1" applyFill="1" applyAlignment="1">
      <alignment vertical="center" wrapText="1"/>
    </xf>
    <xf numFmtId="0" fontId="33" fillId="25" borderId="10" xfId="0" applyNumberFormat="1" applyFont="1" applyFill="1" applyBorder="1" applyAlignment="1">
      <alignment horizontal="center" vertical="top" wrapText="1"/>
    </xf>
    <xf numFmtId="0" fontId="37" fillId="25" borderId="0" xfId="0" applyFont="1" applyFill="1" applyAlignment="1">
      <alignment horizontal="right" vertical="center" wrapText="1"/>
    </xf>
    <xf numFmtId="0" fontId="33" fillId="25" borderId="11" xfId="0" applyFont="1" applyFill="1" applyBorder="1" applyAlignment="1">
      <alignment horizontal="right" vertical="top" wrapText="1"/>
    </xf>
    <xf numFmtId="0" fontId="35" fillId="25" borderId="15" xfId="0" applyFont="1" applyFill="1" applyBorder="1" applyAlignment="1">
      <alignment horizontal="right" vertical="top" wrapText="1"/>
    </xf>
    <xf numFmtId="0" fontId="36" fillId="25" borderId="11" xfId="0" applyFont="1" applyFill="1" applyBorder="1" applyAlignment="1">
      <alignment horizontal="right" vertical="top" wrapText="1"/>
    </xf>
    <xf numFmtId="0" fontId="36" fillId="25" borderId="15" xfId="0" applyFont="1" applyFill="1" applyBorder="1" applyAlignment="1">
      <alignment horizontal="right" vertical="top" wrapText="1"/>
    </xf>
    <xf numFmtId="0" fontId="33" fillId="25" borderId="15" xfId="0" applyFont="1" applyFill="1" applyBorder="1" applyAlignment="1">
      <alignment horizontal="right" vertical="top" wrapText="1"/>
    </xf>
    <xf numFmtId="43" fontId="35" fillId="25" borderId="15" xfId="0" applyNumberFormat="1" applyFont="1" applyFill="1" applyBorder="1" applyAlignment="1">
      <alignment horizontal="right" vertical="top" wrapText="1"/>
    </xf>
    <xf numFmtId="0" fontId="40" fillId="25" borderId="11" xfId="0" applyFont="1" applyFill="1" applyBorder="1" applyAlignment="1">
      <alignment horizontal="right" vertical="top" wrapText="1"/>
    </xf>
    <xf numFmtId="0" fontId="40" fillId="25" borderId="15" xfId="0" applyFont="1" applyFill="1" applyBorder="1" applyAlignment="1">
      <alignment horizontal="right" vertical="top" wrapText="1"/>
    </xf>
    <xf numFmtId="0" fontId="34" fillId="25" borderId="11" xfId="0" applyFont="1" applyFill="1" applyBorder="1" applyAlignment="1">
      <alignment horizontal="right" vertical="top" wrapText="1"/>
    </xf>
    <xf numFmtId="0" fontId="34" fillId="25" borderId="15" xfId="0" applyFont="1" applyFill="1" applyBorder="1" applyAlignment="1">
      <alignment horizontal="right" vertical="top" wrapText="1"/>
    </xf>
    <xf numFmtId="0" fontId="40" fillId="25" borderId="11" xfId="0" applyNumberFormat="1" applyFont="1" applyFill="1" applyBorder="1" applyAlignment="1">
      <alignment horizontal="right" vertical="top" wrapText="1"/>
    </xf>
    <xf numFmtId="0" fontId="40" fillId="25" borderId="15" xfId="0" applyNumberFormat="1" applyFont="1" applyFill="1" applyBorder="1" applyAlignment="1">
      <alignment horizontal="right" vertical="top" wrapText="1"/>
    </xf>
    <xf numFmtId="0" fontId="36" fillId="25" borderId="11" xfId="0" applyNumberFormat="1" applyFont="1" applyFill="1" applyBorder="1" applyAlignment="1">
      <alignment horizontal="right" vertical="top" wrapText="1"/>
    </xf>
    <xf numFmtId="0" fontId="36" fillId="25" borderId="15" xfId="0" applyNumberFormat="1" applyFont="1" applyFill="1" applyBorder="1" applyAlignment="1">
      <alignment horizontal="right" vertical="top" wrapText="1"/>
    </xf>
    <xf numFmtId="0" fontId="33" fillId="25" borderId="12" xfId="0" applyFont="1" applyFill="1" applyBorder="1" applyAlignment="1">
      <alignment horizontal="right" vertical="top" wrapText="1"/>
    </xf>
    <xf numFmtId="0" fontId="33" fillId="25" borderId="13" xfId="0" applyFont="1" applyFill="1" applyBorder="1" applyAlignment="1">
      <alignment horizontal="right" vertical="top" wrapText="1"/>
    </xf>
    <xf numFmtId="0" fontId="36" fillId="25" borderId="0" xfId="0" applyFont="1" applyFill="1" applyAlignment="1">
      <alignment horizontal="right" vertical="center" wrapText="1"/>
    </xf>
    <xf numFmtId="0" fontId="35" fillId="25" borderId="10" xfId="0" applyFont="1" applyFill="1" applyBorder="1" applyAlignment="1">
      <alignment horizontal="center" vertical="top" wrapText="1"/>
    </xf>
    <xf numFmtId="0" fontId="42" fillId="25" borderId="0" xfId="0" applyFont="1" applyFill="1" applyAlignment="1">
      <alignment horizontal="centerContinuous" vertical="center" wrapText="1"/>
    </xf>
    <xf numFmtId="0" fontId="42" fillId="25" borderId="0" xfId="0" applyNumberFormat="1" applyFont="1" applyFill="1" applyAlignment="1">
      <alignment horizontal="centerContinuous" vertical="center" wrapText="1"/>
    </xf>
    <xf numFmtId="164" fontId="43" fillId="0" borderId="0" xfId="0" applyNumberFormat="1" applyFont="1" applyFill="1" applyAlignment="1">
      <alignment vertical="center" wrapText="1"/>
    </xf>
    <xf numFmtId="168" fontId="37" fillId="25" borderId="0" xfId="1" applyNumberFormat="1" applyFont="1" applyFill="1" applyAlignment="1">
      <alignment horizontal="centerContinuous" vertical="top" wrapText="1"/>
    </xf>
    <xf numFmtId="169" fontId="33" fillId="25" borderId="12" xfId="111" applyNumberFormat="1" applyFont="1" applyFill="1" applyBorder="1" applyAlignment="1">
      <alignment horizontal="right" vertical="top" wrapText="1"/>
    </xf>
    <xf numFmtId="169" fontId="33" fillId="25" borderId="13" xfId="111" applyNumberFormat="1" applyFont="1" applyFill="1" applyBorder="1" applyAlignment="1">
      <alignment horizontal="right" vertical="top" wrapText="1"/>
    </xf>
    <xf numFmtId="0" fontId="44" fillId="25" borderId="0" xfId="0" applyNumberFormat="1" applyFont="1" applyFill="1" applyAlignment="1">
      <alignment horizontal="centerContinuous" vertical="center" wrapText="1"/>
    </xf>
    <xf numFmtId="0" fontId="45" fillId="25" borderId="0" xfId="0" applyFont="1" applyFill="1" applyAlignment="1">
      <alignment horizontal="centerContinuous" vertical="center" wrapText="1"/>
    </xf>
    <xf numFmtId="165" fontId="45" fillId="25" borderId="0" xfId="0" applyNumberFormat="1" applyFont="1" applyFill="1" applyAlignment="1">
      <alignment horizontal="centerContinuous" vertical="center" wrapText="1"/>
    </xf>
    <xf numFmtId="0" fontId="45" fillId="25" borderId="0" xfId="0" applyFont="1" applyFill="1" applyAlignment="1">
      <alignment vertical="center" wrapText="1"/>
    </xf>
    <xf numFmtId="164" fontId="39" fillId="25" borderId="15" xfId="0" applyNumberFormat="1" applyFont="1" applyFill="1" applyBorder="1" applyAlignment="1">
      <alignment horizontal="center" vertical="center" wrapText="1"/>
    </xf>
    <xf numFmtId="164" fontId="39" fillId="25" borderId="10" xfId="0" applyNumberFormat="1" applyFont="1" applyFill="1" applyBorder="1" applyAlignment="1">
      <alignment horizontal="center" vertical="center" wrapText="1"/>
    </xf>
    <xf numFmtId="0" fontId="39" fillId="25" borderId="21" xfId="1" applyNumberFormat="1" applyFont="1" applyFill="1" applyBorder="1" applyAlignment="1">
      <alignment horizontal="center" vertical="center" wrapText="1"/>
    </xf>
    <xf numFmtId="0" fontId="39" fillId="25" borderId="22" xfId="1" applyNumberFormat="1" applyFont="1" applyFill="1" applyBorder="1" applyAlignment="1">
      <alignment horizontal="center" vertical="center" wrapText="1"/>
    </xf>
    <xf numFmtId="0" fontId="39" fillId="25" borderId="20" xfId="1" applyNumberFormat="1" applyFont="1" applyFill="1" applyBorder="1" applyAlignment="1">
      <alignment horizontal="center" vertical="center" wrapText="1"/>
    </xf>
    <xf numFmtId="164" fontId="39" fillId="25" borderId="15" xfId="0" applyNumberFormat="1" applyFont="1" applyFill="1" applyBorder="1" applyAlignment="1">
      <alignment horizontal="center" vertical="center" wrapText="1"/>
    </xf>
    <xf numFmtId="164" fontId="39" fillId="25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164" fontId="39" fillId="25" borderId="11" xfId="0" applyNumberFormat="1" applyFont="1" applyFill="1" applyBorder="1" applyAlignment="1">
      <alignment horizontal="center" vertical="center" wrapText="1"/>
    </xf>
    <xf numFmtId="49" fontId="39" fillId="25" borderId="21" xfId="0" applyNumberFormat="1" applyFont="1" applyFill="1" applyBorder="1" applyAlignment="1">
      <alignment horizontal="center" vertical="center" wrapText="1"/>
    </xf>
    <xf numFmtId="49" fontId="39" fillId="25" borderId="22" xfId="0" applyNumberFormat="1" applyFont="1" applyFill="1" applyBorder="1" applyAlignment="1">
      <alignment horizontal="center" vertical="center" wrapText="1"/>
    </xf>
    <xf numFmtId="49" fontId="39" fillId="25" borderId="11" xfId="0" applyNumberFormat="1" applyFont="1" applyFill="1" applyBorder="1" applyAlignment="1">
      <alignment horizontal="center" vertical="center" wrapText="1"/>
    </xf>
    <xf numFmtId="49" fontId="39" fillId="25" borderId="15" xfId="0" applyNumberFormat="1" applyFont="1" applyFill="1" applyBorder="1" applyAlignment="1">
      <alignment horizontal="center" vertical="center" wrapText="1"/>
    </xf>
    <xf numFmtId="0" fontId="39" fillId="25" borderId="20" xfId="0" applyNumberFormat="1" applyFont="1" applyFill="1" applyBorder="1" applyAlignment="1">
      <alignment horizontal="center" vertical="center" wrapText="1"/>
    </xf>
    <xf numFmtId="0" fontId="39" fillId="25" borderId="10" xfId="0" applyNumberFormat="1" applyFont="1" applyFill="1" applyBorder="1" applyAlignment="1">
      <alignment horizontal="center" vertical="center" wrapText="1"/>
    </xf>
    <xf numFmtId="164" fontId="39" fillId="25" borderId="21" xfId="1" applyNumberFormat="1" applyFont="1" applyFill="1" applyBorder="1" applyAlignment="1">
      <alignment horizontal="center" vertical="center" wrapText="1"/>
    </xf>
    <xf numFmtId="164" fontId="39" fillId="25" borderId="22" xfId="1" applyNumberFormat="1" applyFont="1" applyFill="1" applyBorder="1" applyAlignment="1">
      <alignment horizontal="center" vertical="center" wrapText="1"/>
    </xf>
    <xf numFmtId="164" fontId="39" fillId="25" borderId="20" xfId="1" applyNumberFormat="1" applyFont="1" applyFill="1" applyBorder="1" applyAlignment="1">
      <alignment horizontal="center" vertical="center" wrapText="1"/>
    </xf>
  </cellXfs>
  <cellStyles count="195">
    <cellStyle name="20% - Accent1" xfId="128" builtinId="30" customBuiltin="1"/>
    <cellStyle name="20% - Accent1 2" xfId="18"/>
    <cellStyle name="20% - Accent2" xfId="132" builtinId="34" customBuiltin="1"/>
    <cellStyle name="20% - Accent2 2" xfId="19"/>
    <cellStyle name="20% - Accent3" xfId="136" builtinId="38" customBuiltin="1"/>
    <cellStyle name="20% - Accent3 2" xfId="20"/>
    <cellStyle name="20% - Accent4" xfId="140" builtinId="42" customBuiltin="1"/>
    <cellStyle name="20% - Accent4 2" xfId="21"/>
    <cellStyle name="20% - Accent5" xfId="144" builtinId="46" customBuiltin="1"/>
    <cellStyle name="20% - Accent5 2" xfId="22"/>
    <cellStyle name="20% - Accent6" xfId="148" builtinId="50" customBuiltin="1"/>
    <cellStyle name="20% - Accent6 2" xfId="23"/>
    <cellStyle name="40% - Accent1" xfId="129" builtinId="31" customBuiltin="1"/>
    <cellStyle name="40% - Accent1 2" xfId="24"/>
    <cellStyle name="40% - Accent2" xfId="133" builtinId="35" customBuiltin="1"/>
    <cellStyle name="40% - Accent2 2" xfId="25"/>
    <cellStyle name="40% - Accent3" xfId="137" builtinId="39" customBuiltin="1"/>
    <cellStyle name="40% - Accent3 2" xfId="26"/>
    <cellStyle name="40% - Accent4" xfId="141" builtinId="43" customBuiltin="1"/>
    <cellStyle name="40% - Accent4 2" xfId="27"/>
    <cellStyle name="40% - Accent5" xfId="145" builtinId="47" customBuiltin="1"/>
    <cellStyle name="40% - Accent5 2" xfId="28"/>
    <cellStyle name="40% - Accent6" xfId="149" builtinId="51" customBuiltin="1"/>
    <cellStyle name="40% - Accent6 2" xfId="29"/>
    <cellStyle name="60% - Accent1" xfId="130" builtinId="32" customBuiltin="1"/>
    <cellStyle name="60% - Accent1 2" xfId="30"/>
    <cellStyle name="60% - Accent2" xfId="134" builtinId="36" customBuiltin="1"/>
    <cellStyle name="60% - Accent2 2" xfId="31"/>
    <cellStyle name="60% - Accent3" xfId="138" builtinId="40" customBuiltin="1"/>
    <cellStyle name="60% - Accent3 2" xfId="32"/>
    <cellStyle name="60% - Accent4" xfId="142" builtinId="44" customBuiltin="1"/>
    <cellStyle name="60% - Accent4 2" xfId="33"/>
    <cellStyle name="60% - Accent5" xfId="146" builtinId="48" customBuiltin="1"/>
    <cellStyle name="60% - Accent5 2" xfId="34"/>
    <cellStyle name="60% - Accent6" xfId="150" builtinId="52" customBuiltin="1"/>
    <cellStyle name="60% - Accent6 2" xfId="35"/>
    <cellStyle name="Accent1" xfId="127" builtinId="29" customBuiltin="1"/>
    <cellStyle name="Accent1 2" xfId="36"/>
    <cellStyle name="Accent2" xfId="131" builtinId="33" customBuiltin="1"/>
    <cellStyle name="Accent2 2" xfId="37"/>
    <cellStyle name="Accent3" xfId="135" builtinId="37" customBuiltin="1"/>
    <cellStyle name="Accent3 2" xfId="38"/>
    <cellStyle name="Accent4" xfId="139" builtinId="41" customBuiltin="1"/>
    <cellStyle name="Accent4 2" xfId="39"/>
    <cellStyle name="Accent5" xfId="143" builtinId="45" customBuiltin="1"/>
    <cellStyle name="Accent5 2" xfId="40"/>
    <cellStyle name="Accent6" xfId="147" builtinId="49" customBuiltin="1"/>
    <cellStyle name="Accent6 2" xfId="41"/>
    <cellStyle name="Bad" xfId="117" builtinId="27" customBuiltin="1"/>
    <cellStyle name="Bad 2" xfId="42"/>
    <cellStyle name="Calculation" xfId="121" builtinId="22" customBuiltin="1"/>
    <cellStyle name="Calculation 2" xfId="43"/>
    <cellStyle name="Calculation 2 2" xfId="86"/>
    <cellStyle name="Check Cell" xfId="123" builtinId="23" customBuiltin="1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3 2 2 2" xfId="89"/>
    <cellStyle name="Comma 3 2 2 2 2" xfId="182"/>
    <cellStyle name="Comma 3 2 2 3" xfId="88"/>
    <cellStyle name="Comma 3 2 2 3 2" xfId="172"/>
    <cellStyle name="Comma 3 2 2 4" xfId="159"/>
    <cellStyle name="Comma 3 2 2 5" xfId="193"/>
    <cellStyle name="Comma 3 2 3" xfId="90"/>
    <cellStyle name="Comma 3 2 3 2" xfId="176"/>
    <cellStyle name="Comma 3 2 4" xfId="87"/>
    <cellStyle name="Comma 3 2 4 2" xfId="166"/>
    <cellStyle name="Comma 3 2 5" xfId="153"/>
    <cellStyle name="Comma 3 2 6" xfId="187"/>
    <cellStyle name="Comma 4" xfId="12"/>
    <cellStyle name="Comma 5" xfId="5"/>
    <cellStyle name="Comma 5 2" xfId="92"/>
    <cellStyle name="Comma 5 2 2" xfId="175"/>
    <cellStyle name="Comma 5 3" xfId="91"/>
    <cellStyle name="Comma 5 3 2" xfId="165"/>
    <cellStyle name="Comma 5 4" xfId="152"/>
    <cellStyle name="Comma 5 5" xfId="186"/>
    <cellStyle name="Comma 6" xfId="76"/>
    <cellStyle name="Comma 6 2" xfId="94"/>
    <cellStyle name="Comma 6 2 2" xfId="181"/>
    <cellStyle name="Comma 6 3" xfId="93"/>
    <cellStyle name="Comma 6 3 2" xfId="171"/>
    <cellStyle name="Comma 6 4" xfId="158"/>
    <cellStyle name="Comma 6 5" xfId="192"/>
    <cellStyle name="Comma 7" xfId="83"/>
    <cellStyle name="Explanatory Text" xfId="125" builtinId="53" customBuiltin="1"/>
    <cellStyle name="Explanatory Text 2" xfId="47"/>
    <cellStyle name="Good" xfId="116" builtinId="26" customBuiltin="1"/>
    <cellStyle name="Good 2" xfId="48"/>
    <cellStyle name="Heading 1" xfId="112" builtinId="16" customBuiltin="1"/>
    <cellStyle name="Heading 1 2" xfId="49"/>
    <cellStyle name="Heading 2" xfId="113" builtinId="17" customBuiltin="1"/>
    <cellStyle name="Heading 2 2" xfId="50"/>
    <cellStyle name="Heading 3" xfId="114" builtinId="18" customBuiltin="1"/>
    <cellStyle name="Heading 3 2" xfId="51"/>
    <cellStyle name="Heading 4" xfId="115" builtinId="19" customBuiltin="1"/>
    <cellStyle name="Heading 4 2" xfId="52"/>
    <cellStyle name="Input" xfId="119" builtinId="20" customBuiltin="1"/>
    <cellStyle name="Input 2" xfId="53"/>
    <cellStyle name="Input 2 2" xfId="95"/>
    <cellStyle name="Linked Cell" xfId="122" builtinId="24" customBuiltin="1"/>
    <cellStyle name="Linked Cell 2" xfId="54"/>
    <cellStyle name="Neutral" xfId="118" builtinId="28" customBuiltin="1"/>
    <cellStyle name="Neutral 2" xfId="15"/>
    <cellStyle name="Neutral 3" xfId="55"/>
    <cellStyle name="Normal" xfId="0" builtinId="0"/>
    <cellStyle name="Normal 10" xfId="74"/>
    <cellStyle name="Normal 10 2" xfId="97"/>
    <cellStyle name="Normal 10 2 2" xfId="179"/>
    <cellStyle name="Normal 10 3" xfId="96"/>
    <cellStyle name="Normal 10 3 2" xfId="169"/>
    <cellStyle name="Normal 10 4" xfId="156"/>
    <cellStyle name="Normal 10 5" xfId="190"/>
    <cellStyle name="Normal 11" xfId="75"/>
    <cellStyle name="Normal 11 2" xfId="99"/>
    <cellStyle name="Normal 11 2 2" xfId="180"/>
    <cellStyle name="Normal 11 3" xfId="98"/>
    <cellStyle name="Normal 11 3 2" xfId="170"/>
    <cellStyle name="Normal 11 4" xfId="157"/>
    <cellStyle name="Normal 11 5" xfId="191"/>
    <cellStyle name="Normal 12" xfId="80"/>
    <cellStyle name="Normal 12 2" xfId="184"/>
    <cellStyle name="Normal 12 3" xfId="162"/>
    <cellStyle name="Normal 13" xfId="82"/>
    <cellStyle name="Normal 2" xfId="2"/>
    <cellStyle name="Normal 2 2" xfId="56"/>
    <cellStyle name="Normal 2 3" xfId="57"/>
    <cellStyle name="Normal 2 4" xfId="81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5 2 2 2" xfId="102"/>
    <cellStyle name="Normal 5 2 2 2 2" xfId="183"/>
    <cellStyle name="Normal 5 2 2 3" xfId="101"/>
    <cellStyle name="Normal 5 2 2 3 2" xfId="173"/>
    <cellStyle name="Normal 5 2 2 4" xfId="160"/>
    <cellStyle name="Normal 5 2 2 5" xfId="194"/>
    <cellStyle name="Normal 5 2 3" xfId="103"/>
    <cellStyle name="Normal 5 2 3 2" xfId="177"/>
    <cellStyle name="Normal 5 2 4" xfId="100"/>
    <cellStyle name="Normal 5 2 4 2" xfId="167"/>
    <cellStyle name="Normal 5 2 5" xfId="154"/>
    <cellStyle name="Normal 5 2 6" xfId="188"/>
    <cellStyle name="Normal 6" xfId="60"/>
    <cellStyle name="Normal 7" xfId="61"/>
    <cellStyle name="Normal 8" xfId="4"/>
    <cellStyle name="Normal 8 2" xfId="105"/>
    <cellStyle name="Normal 8 2 2" xfId="174"/>
    <cellStyle name="Normal 8 3" xfId="104"/>
    <cellStyle name="Normal 8 3 2" xfId="164"/>
    <cellStyle name="Normal 8 4" xfId="151"/>
    <cellStyle name="Normal 8 5" xfId="185"/>
    <cellStyle name="Normal 9" xfId="73"/>
    <cellStyle name="Normal 9 2" xfId="107"/>
    <cellStyle name="Normal 9 2 2" xfId="178"/>
    <cellStyle name="Normal 9 3" xfId="106"/>
    <cellStyle name="Normal 9 3 2" xfId="168"/>
    <cellStyle name="Normal 9 4" xfId="155"/>
    <cellStyle name="Normal 9 5" xfId="189"/>
    <cellStyle name="Note 2" xfId="62"/>
    <cellStyle name="Note 2 2" xfId="108"/>
    <cellStyle name="Note 3" xfId="163"/>
    <cellStyle name="Output" xfId="120" builtinId="21" customBuiltin="1"/>
    <cellStyle name="Output 2" xfId="63"/>
    <cellStyle name="Output 2 2" xfId="109"/>
    <cellStyle name="Percent" xfId="111" builtinId="5"/>
    <cellStyle name="Percent 2" xfId="7"/>
    <cellStyle name="SN_241" xfId="79"/>
    <cellStyle name="Style 1" xfId="64"/>
    <cellStyle name="Style 1 2" xfId="65"/>
    <cellStyle name="Style 1 2 2" xfId="72"/>
    <cellStyle name="Style 1_verchnakan_ax21-25_2018" xfId="66"/>
    <cellStyle name="Title 2" xfId="67"/>
    <cellStyle name="Title 3" xfId="161"/>
    <cellStyle name="Total" xfId="126" builtinId="25" customBuiltin="1"/>
    <cellStyle name="Total 2" xfId="68"/>
    <cellStyle name="Total 2 2" xfId="110"/>
    <cellStyle name="Warning Text" xfId="124" builtinId="11" customBuiltin="1"/>
    <cellStyle name="Warning Text 2" xfId="69"/>
    <cellStyle name="Обычный 2" xfId="70"/>
    <cellStyle name="Обычный 2 2" xfId="71"/>
    <cellStyle name="Обычный 2 3" xfId="84"/>
    <cellStyle name="Финансовый 2" xfId="85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5"/>
  <sheetViews>
    <sheetView tabSelected="1" zoomScale="84" zoomScaleNormal="84" zoomScaleSheetLayoutView="80" workbookViewId="0"/>
  </sheetViews>
  <sheetFormatPr defaultColWidth="9.140625" defaultRowHeight="13.5" x14ac:dyDescent="0.2"/>
  <cols>
    <col min="1" max="1" width="5.85546875" style="8" customWidth="1"/>
    <col min="2" max="2" width="8" style="8" customWidth="1"/>
    <col min="3" max="3" width="42.140625" style="9" customWidth="1"/>
    <col min="4" max="4" width="17.28515625" style="10" customWidth="1"/>
    <col min="5" max="5" width="17.5703125" style="10" customWidth="1"/>
    <col min="6" max="6" width="18" style="10" customWidth="1"/>
    <col min="7" max="7" width="14.85546875" style="10" customWidth="1"/>
    <col min="8" max="8" width="16.42578125" style="10" customWidth="1"/>
    <col min="9" max="9" width="17.28515625" style="9" customWidth="1"/>
    <col min="10" max="10" width="17.7109375" style="9" bestFit="1" customWidth="1"/>
    <col min="11" max="11" width="15.7109375" style="9" customWidth="1"/>
    <col min="12" max="12" width="14.7109375" style="9" customWidth="1"/>
    <col min="13" max="13" width="16" style="9" customWidth="1"/>
    <col min="14" max="14" width="17.7109375" style="9" customWidth="1"/>
    <col min="15" max="15" width="16.140625" style="9" customWidth="1"/>
    <col min="16" max="16" width="15.7109375" style="10" customWidth="1"/>
    <col min="17" max="17" width="14.42578125" style="9" customWidth="1"/>
    <col min="18" max="18" width="15.85546875" style="9" customWidth="1"/>
    <col min="19" max="20" width="7.7109375" style="9" customWidth="1"/>
    <col min="21" max="21" width="8.28515625" style="9" customWidth="1"/>
    <col min="22" max="22" width="9.5703125" style="9" customWidth="1"/>
    <col min="23" max="23" width="7.5703125" style="9" customWidth="1"/>
    <col min="24" max="16384" width="9.140625" style="9"/>
  </cols>
  <sheetData>
    <row r="1" spans="1:23" ht="27" customHeight="1" x14ac:dyDescent="0.2">
      <c r="G1" s="9"/>
      <c r="V1" s="11" t="s">
        <v>0</v>
      </c>
      <c r="W1" s="11"/>
    </row>
    <row r="2" spans="1:23" ht="17.25" customHeight="1" x14ac:dyDescent="0.2">
      <c r="A2" s="12"/>
      <c r="B2" s="12"/>
      <c r="C2" s="12"/>
      <c r="D2" s="12"/>
      <c r="E2" s="12"/>
      <c r="F2" s="12"/>
      <c r="G2" s="12"/>
      <c r="H2" s="12"/>
      <c r="V2" s="11" t="s">
        <v>32</v>
      </c>
      <c r="W2" s="14"/>
    </row>
    <row r="3" spans="1:23" ht="17.25" customHeight="1" x14ac:dyDescent="0.2">
      <c r="A3" s="90" t="s">
        <v>825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5"/>
      <c r="Q3" s="14"/>
      <c r="R3" s="14"/>
      <c r="S3" s="14"/>
      <c r="T3" s="14"/>
      <c r="U3" s="14"/>
      <c r="V3" s="14"/>
    </row>
    <row r="4" spans="1:23" s="99" customFormat="1" ht="93" customHeight="1" x14ac:dyDescent="0.2">
      <c r="A4" s="96" t="s">
        <v>53</v>
      </c>
      <c r="B4" s="96"/>
      <c r="C4" s="96"/>
      <c r="D4" s="96"/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8"/>
      <c r="Q4" s="97"/>
      <c r="R4" s="97"/>
      <c r="S4" s="97"/>
      <c r="T4" s="97"/>
      <c r="U4" s="97"/>
      <c r="V4" s="97"/>
      <c r="W4" s="97"/>
    </row>
    <row r="5" spans="1:23" ht="33.75" customHeight="1" x14ac:dyDescent="0.2">
      <c r="A5" s="91"/>
      <c r="B5" s="16"/>
      <c r="C5" s="16"/>
      <c r="D5" s="16"/>
      <c r="E5" s="16"/>
      <c r="F5" s="16"/>
      <c r="G5" s="16"/>
      <c r="H5" s="16"/>
      <c r="I5" s="14"/>
      <c r="J5" s="14"/>
      <c r="K5" s="14"/>
      <c r="L5" s="14"/>
      <c r="M5" s="14"/>
      <c r="N5" s="14"/>
      <c r="O5" s="14"/>
      <c r="P5" s="15"/>
      <c r="Q5" s="14"/>
      <c r="R5" s="14"/>
      <c r="S5" s="14"/>
      <c r="T5" s="14"/>
      <c r="U5" s="14"/>
      <c r="V5" s="14"/>
    </row>
    <row r="6" spans="1:23" ht="21.75" customHeight="1" thickBot="1" x14ac:dyDescent="0.25">
      <c r="A6" s="17"/>
      <c r="B6" s="17"/>
      <c r="C6" s="17"/>
      <c r="D6" s="17"/>
      <c r="E6" s="17"/>
      <c r="F6" s="17"/>
      <c r="G6" s="17"/>
      <c r="H6" s="17"/>
      <c r="R6" s="92" t="s">
        <v>829</v>
      </c>
    </row>
    <row r="7" spans="1:23" ht="32.25" customHeight="1" x14ac:dyDescent="0.2">
      <c r="A7" s="110" t="s">
        <v>1</v>
      </c>
      <c r="B7" s="111"/>
      <c r="C7" s="114" t="s">
        <v>2</v>
      </c>
      <c r="D7" s="116" t="s">
        <v>818</v>
      </c>
      <c r="E7" s="117"/>
      <c r="F7" s="117"/>
      <c r="G7" s="117"/>
      <c r="H7" s="118"/>
      <c r="I7" s="116" t="s">
        <v>819</v>
      </c>
      <c r="J7" s="117"/>
      <c r="K7" s="117"/>
      <c r="L7" s="117"/>
      <c r="M7" s="118"/>
      <c r="N7" s="116" t="s">
        <v>820</v>
      </c>
      <c r="O7" s="117"/>
      <c r="P7" s="117"/>
      <c r="Q7" s="117"/>
      <c r="R7" s="118"/>
      <c r="S7" s="102" t="s">
        <v>821</v>
      </c>
      <c r="T7" s="103"/>
      <c r="U7" s="103"/>
      <c r="V7" s="103"/>
      <c r="W7" s="104"/>
    </row>
    <row r="8" spans="1:23" s="8" customFormat="1" ht="24.75" customHeight="1" x14ac:dyDescent="0.2">
      <c r="A8" s="112"/>
      <c r="B8" s="113"/>
      <c r="C8" s="115"/>
      <c r="D8" s="109" t="s">
        <v>822</v>
      </c>
      <c r="E8" s="105" t="s">
        <v>823</v>
      </c>
      <c r="F8" s="105"/>
      <c r="G8" s="105"/>
      <c r="H8" s="106"/>
      <c r="I8" s="109" t="s">
        <v>822</v>
      </c>
      <c r="J8" s="105" t="s">
        <v>823</v>
      </c>
      <c r="K8" s="105"/>
      <c r="L8" s="105"/>
      <c r="M8" s="106"/>
      <c r="N8" s="109" t="s">
        <v>822</v>
      </c>
      <c r="O8" s="105" t="s">
        <v>823</v>
      </c>
      <c r="P8" s="105"/>
      <c r="Q8" s="105"/>
      <c r="R8" s="106"/>
      <c r="S8" s="109" t="s">
        <v>822</v>
      </c>
      <c r="T8" s="105" t="s">
        <v>823</v>
      </c>
      <c r="U8" s="105"/>
      <c r="V8" s="105"/>
      <c r="W8" s="106"/>
    </row>
    <row r="9" spans="1:23" s="8" customFormat="1" ht="183" customHeight="1" x14ac:dyDescent="0.2">
      <c r="A9" s="18" t="s">
        <v>824</v>
      </c>
      <c r="B9" s="19" t="s">
        <v>3</v>
      </c>
      <c r="C9" s="115"/>
      <c r="D9" s="109"/>
      <c r="E9" s="20" t="s">
        <v>4</v>
      </c>
      <c r="F9" s="20" t="s">
        <v>5</v>
      </c>
      <c r="G9" s="20" t="s">
        <v>6</v>
      </c>
      <c r="H9" s="21" t="s">
        <v>7</v>
      </c>
      <c r="I9" s="109"/>
      <c r="J9" s="20" t="s">
        <v>4</v>
      </c>
      <c r="K9" s="20" t="s">
        <v>5</v>
      </c>
      <c r="L9" s="20" t="s">
        <v>6</v>
      </c>
      <c r="M9" s="21" t="s">
        <v>7</v>
      </c>
      <c r="N9" s="109"/>
      <c r="O9" s="20" t="s">
        <v>4</v>
      </c>
      <c r="P9" s="22" t="s">
        <v>5</v>
      </c>
      <c r="Q9" s="20" t="s">
        <v>6</v>
      </c>
      <c r="R9" s="21" t="s">
        <v>7</v>
      </c>
      <c r="S9" s="109"/>
      <c r="T9" s="100" t="s">
        <v>4</v>
      </c>
      <c r="U9" s="100" t="s">
        <v>5</v>
      </c>
      <c r="V9" s="100" t="s">
        <v>6</v>
      </c>
      <c r="W9" s="101" t="s">
        <v>7</v>
      </c>
    </row>
    <row r="10" spans="1:23" s="8" customFormat="1" ht="27" customHeight="1" x14ac:dyDescent="0.2">
      <c r="A10" s="23"/>
      <c r="B10" s="24"/>
      <c r="C10" s="70" t="s">
        <v>8</v>
      </c>
      <c r="D10" s="5">
        <f t="shared" ref="D10:R10" si="0">SUM(D12,D15,D18,D29,D32,D38,D42,D378,D400,D422,D426,D429,D435,D876,D880,D896,D899,D902,D921,D925,D928,D940,D943,D963,D973,D976,D979,D982,D991,D1001,D1004,D1008,D1011,D1014)</f>
        <v>221585662.60000002</v>
      </c>
      <c r="E10" s="6">
        <f t="shared" si="0"/>
        <v>133435520.09999999</v>
      </c>
      <c r="F10" s="6">
        <f t="shared" si="0"/>
        <v>58704487.300000004</v>
      </c>
      <c r="G10" s="6">
        <f t="shared" si="0"/>
        <v>3861981.6000000006</v>
      </c>
      <c r="H10" s="7">
        <f t="shared" si="0"/>
        <v>25583673.599999998</v>
      </c>
      <c r="I10" s="5">
        <f t="shared" si="0"/>
        <v>343829549.49199986</v>
      </c>
      <c r="J10" s="6">
        <f t="shared" si="0"/>
        <v>247638951.61200002</v>
      </c>
      <c r="K10" s="6">
        <f t="shared" si="0"/>
        <v>57305132</v>
      </c>
      <c r="L10" s="6">
        <f t="shared" si="0"/>
        <v>2627634.9</v>
      </c>
      <c r="M10" s="7">
        <f t="shared" si="0"/>
        <v>36257830.979999997</v>
      </c>
      <c r="N10" s="5">
        <f t="shared" si="0"/>
        <v>335068267.75517315</v>
      </c>
      <c r="O10" s="6">
        <f t="shared" si="0"/>
        <v>245654890.051</v>
      </c>
      <c r="P10" s="6">
        <f t="shared" si="0"/>
        <v>52735182.052500002</v>
      </c>
      <c r="Q10" s="6">
        <f t="shared" si="0"/>
        <v>2437792.7060000002</v>
      </c>
      <c r="R10" s="7">
        <f t="shared" si="0"/>
        <v>34240402.945673004</v>
      </c>
      <c r="S10" s="26">
        <f>IF(I10=0," ",N10/I10)</f>
        <v>0.97451853178480063</v>
      </c>
      <c r="T10" s="27">
        <f t="shared" ref="T10:W10" si="1">IF(J10=0," ",O10/J10)</f>
        <v>0.99198808770556968</v>
      </c>
      <c r="U10" s="27">
        <f t="shared" si="1"/>
        <v>0.92025234410942469</v>
      </c>
      <c r="V10" s="27">
        <f t="shared" si="1"/>
        <v>0.92775168498485094</v>
      </c>
      <c r="W10" s="27">
        <f t="shared" si="1"/>
        <v>0.94435883284248812</v>
      </c>
    </row>
    <row r="11" spans="1:23" ht="17.25" customHeight="1" x14ac:dyDescent="0.2">
      <c r="A11" s="23"/>
      <c r="B11" s="24"/>
      <c r="C11" s="28" t="s">
        <v>9</v>
      </c>
      <c r="D11" s="5"/>
      <c r="E11" s="6"/>
      <c r="F11" s="6"/>
      <c r="G11" s="6"/>
      <c r="H11" s="7"/>
      <c r="I11" s="5"/>
      <c r="J11" s="6"/>
      <c r="K11" s="6"/>
      <c r="L11" s="6"/>
      <c r="M11" s="7"/>
      <c r="N11" s="5"/>
      <c r="O11" s="6"/>
      <c r="P11" s="6"/>
      <c r="Q11" s="6"/>
      <c r="R11" s="7"/>
      <c r="S11" s="29"/>
      <c r="T11" s="30"/>
      <c r="U11" s="30"/>
      <c r="V11" s="30"/>
      <c r="W11" s="30"/>
    </row>
    <row r="12" spans="1:23" s="32" customFormat="1" ht="39" customHeight="1" x14ac:dyDescent="0.2">
      <c r="A12" s="31"/>
      <c r="B12" s="3"/>
      <c r="C12" s="89" t="s">
        <v>49</v>
      </c>
      <c r="D12" s="5">
        <f>D14</f>
        <v>3762.5</v>
      </c>
      <c r="E12" s="6">
        <f t="shared" ref="E12:H12" si="2">E14</f>
        <v>0</v>
      </c>
      <c r="F12" s="6">
        <f t="shared" si="2"/>
        <v>0</v>
      </c>
      <c r="G12" s="6">
        <f t="shared" si="2"/>
        <v>0</v>
      </c>
      <c r="H12" s="7">
        <f t="shared" si="2"/>
        <v>3762.5</v>
      </c>
      <c r="I12" s="5">
        <f>I14</f>
        <v>23762.5</v>
      </c>
      <c r="J12" s="6">
        <f t="shared" ref="J12:M12" si="3">J14</f>
        <v>0</v>
      </c>
      <c r="K12" s="6">
        <f t="shared" si="3"/>
        <v>0</v>
      </c>
      <c r="L12" s="6">
        <f t="shared" si="3"/>
        <v>0</v>
      </c>
      <c r="M12" s="7">
        <f t="shared" si="3"/>
        <v>23762.5</v>
      </c>
      <c r="N12" s="5">
        <f>N14</f>
        <v>23126.9</v>
      </c>
      <c r="O12" s="6">
        <f t="shared" ref="O12:R12" si="4">O14</f>
        <v>0</v>
      </c>
      <c r="P12" s="6">
        <f t="shared" si="4"/>
        <v>0</v>
      </c>
      <c r="Q12" s="6">
        <f t="shared" si="4"/>
        <v>0</v>
      </c>
      <c r="R12" s="7">
        <f t="shared" si="4"/>
        <v>23126.9</v>
      </c>
      <c r="S12" s="26">
        <f t="shared" ref="S12:S74" si="5">IF(I12=0," ",N12/I12)</f>
        <v>0.97325197264597585</v>
      </c>
      <c r="T12" s="27" t="str">
        <f t="shared" ref="T12:T74" si="6">IF(J12=0," ",O12/J12)</f>
        <v xml:space="preserve"> </v>
      </c>
      <c r="U12" s="27" t="str">
        <f t="shared" ref="U12:U74" si="7">IF(K12=0," ",P12/K12)</f>
        <v xml:space="preserve"> </v>
      </c>
      <c r="V12" s="27" t="str">
        <f t="shared" ref="V12:W74" si="8">IF(L12=0," ",Q12/L12)</f>
        <v xml:space="preserve"> </v>
      </c>
      <c r="W12" s="27">
        <f t="shared" si="8"/>
        <v>0.97325197264597585</v>
      </c>
    </row>
    <row r="13" spans="1:23" s="8" customFormat="1" ht="17.25" customHeight="1" x14ac:dyDescent="0.2">
      <c r="A13" s="33"/>
      <c r="B13" s="34"/>
      <c r="C13" s="4" t="s">
        <v>10</v>
      </c>
      <c r="D13" s="35"/>
      <c r="E13" s="36"/>
      <c r="F13" s="36"/>
      <c r="G13" s="36"/>
      <c r="H13" s="37"/>
      <c r="I13" s="35"/>
      <c r="J13" s="36"/>
      <c r="K13" s="36"/>
      <c r="L13" s="36"/>
      <c r="M13" s="37"/>
      <c r="N13" s="35"/>
      <c r="O13" s="36"/>
      <c r="P13" s="36"/>
      <c r="Q13" s="36"/>
      <c r="R13" s="37"/>
      <c r="S13" s="29" t="str">
        <f t="shared" si="5"/>
        <v xml:space="preserve"> </v>
      </c>
      <c r="T13" s="30" t="str">
        <f t="shared" si="6"/>
        <v xml:space="preserve"> </v>
      </c>
      <c r="U13" s="30" t="str">
        <f t="shared" si="7"/>
        <v xml:space="preserve"> </v>
      </c>
      <c r="V13" s="30" t="str">
        <f t="shared" si="8"/>
        <v xml:space="preserve"> </v>
      </c>
      <c r="W13" s="30" t="str">
        <f t="shared" si="8"/>
        <v xml:space="preserve"> </v>
      </c>
    </row>
    <row r="14" spans="1:23" s="38" customFormat="1" ht="58.5" customHeight="1" x14ac:dyDescent="0.2">
      <c r="A14" s="72">
        <v>1154</v>
      </c>
      <c r="B14" s="76">
        <v>31001</v>
      </c>
      <c r="C14" s="1" t="s">
        <v>62</v>
      </c>
      <c r="D14" s="5">
        <f>SUM(E14:H14)</f>
        <v>3762.5</v>
      </c>
      <c r="E14" s="6"/>
      <c r="F14" s="6"/>
      <c r="G14" s="6"/>
      <c r="H14" s="7">
        <v>3762.5</v>
      </c>
      <c r="I14" s="5">
        <f>SUM(J14:M14)</f>
        <v>23762.5</v>
      </c>
      <c r="J14" s="6"/>
      <c r="K14" s="6"/>
      <c r="L14" s="6"/>
      <c r="M14" s="7">
        <v>23762.5</v>
      </c>
      <c r="N14" s="5">
        <f>SUM(O14:R14)</f>
        <v>23126.9</v>
      </c>
      <c r="O14" s="6"/>
      <c r="P14" s="6"/>
      <c r="Q14" s="6"/>
      <c r="R14" s="7">
        <v>23126.9</v>
      </c>
      <c r="S14" s="26">
        <f t="shared" si="5"/>
        <v>0.97325197264597585</v>
      </c>
      <c r="T14" s="27" t="str">
        <f t="shared" si="6"/>
        <v xml:space="preserve"> </v>
      </c>
      <c r="U14" s="27" t="str">
        <f t="shared" si="7"/>
        <v xml:space="preserve"> </v>
      </c>
      <c r="V14" s="27" t="str">
        <f t="shared" si="8"/>
        <v xml:space="preserve"> </v>
      </c>
      <c r="W14" s="27">
        <f t="shared" si="8"/>
        <v>0.97325197264597585</v>
      </c>
    </row>
    <row r="15" spans="1:23" s="32" customFormat="1" ht="23.25" customHeight="1" x14ac:dyDescent="0.2">
      <c r="A15" s="72"/>
      <c r="B15" s="73"/>
      <c r="C15" s="89" t="s">
        <v>11</v>
      </c>
      <c r="D15" s="5">
        <f>D17</f>
        <v>72900</v>
      </c>
      <c r="E15" s="6">
        <f t="shared" ref="E15:H15" si="9">E17</f>
        <v>0</v>
      </c>
      <c r="F15" s="6">
        <f t="shared" si="9"/>
        <v>0</v>
      </c>
      <c r="G15" s="6">
        <f t="shared" si="9"/>
        <v>0</v>
      </c>
      <c r="H15" s="7">
        <f t="shared" si="9"/>
        <v>72900</v>
      </c>
      <c r="I15" s="5">
        <f>I17</f>
        <v>103900</v>
      </c>
      <c r="J15" s="6">
        <f t="shared" ref="J15:M15" si="10">J17</f>
        <v>0</v>
      </c>
      <c r="K15" s="6">
        <f t="shared" si="10"/>
        <v>0</v>
      </c>
      <c r="L15" s="6">
        <f t="shared" si="10"/>
        <v>0</v>
      </c>
      <c r="M15" s="7">
        <f t="shared" si="10"/>
        <v>103900</v>
      </c>
      <c r="N15" s="5">
        <f>N17</f>
        <v>103426.93</v>
      </c>
      <c r="O15" s="6">
        <f t="shared" ref="O15:R15" si="11">O17</f>
        <v>0</v>
      </c>
      <c r="P15" s="6">
        <f t="shared" si="11"/>
        <v>0</v>
      </c>
      <c r="Q15" s="6">
        <f t="shared" si="11"/>
        <v>0</v>
      </c>
      <c r="R15" s="7">
        <f t="shared" si="11"/>
        <v>103426.93</v>
      </c>
      <c r="S15" s="26">
        <f t="shared" si="5"/>
        <v>0.9954468719923002</v>
      </c>
      <c r="T15" s="27" t="str">
        <f t="shared" si="6"/>
        <v xml:space="preserve"> </v>
      </c>
      <c r="U15" s="27" t="str">
        <f t="shared" si="7"/>
        <v xml:space="preserve"> </v>
      </c>
      <c r="V15" s="27" t="str">
        <f t="shared" si="8"/>
        <v xml:space="preserve"> </v>
      </c>
      <c r="W15" s="27">
        <f t="shared" si="8"/>
        <v>0.9954468719923002</v>
      </c>
    </row>
    <row r="16" spans="1:23" s="8" customFormat="1" ht="16.5" x14ac:dyDescent="0.2">
      <c r="A16" s="74"/>
      <c r="B16" s="75"/>
      <c r="C16" s="4" t="s">
        <v>10</v>
      </c>
      <c r="D16" s="35"/>
      <c r="E16" s="36"/>
      <c r="F16" s="36"/>
      <c r="G16" s="36"/>
      <c r="H16" s="37"/>
      <c r="I16" s="35"/>
      <c r="J16" s="36"/>
      <c r="K16" s="36"/>
      <c r="L16" s="36"/>
      <c r="M16" s="37"/>
      <c r="N16" s="35"/>
      <c r="O16" s="36"/>
      <c r="P16" s="36"/>
      <c r="Q16" s="36"/>
      <c r="R16" s="37"/>
      <c r="S16" s="29" t="str">
        <f t="shared" si="5"/>
        <v xml:space="preserve"> </v>
      </c>
      <c r="T16" s="30" t="str">
        <f t="shared" si="6"/>
        <v xml:space="preserve"> </v>
      </c>
      <c r="U16" s="30" t="str">
        <f t="shared" si="7"/>
        <v xml:space="preserve"> </v>
      </c>
      <c r="V16" s="30" t="str">
        <f t="shared" si="8"/>
        <v xml:space="preserve"> </v>
      </c>
      <c r="W16" s="30" t="str">
        <f t="shared" si="8"/>
        <v xml:space="preserve"> </v>
      </c>
    </row>
    <row r="17" spans="1:23" s="38" customFormat="1" ht="40.5" customHeight="1" x14ac:dyDescent="0.2">
      <c r="A17" s="72">
        <v>1024</v>
      </c>
      <c r="B17" s="76">
        <v>31001</v>
      </c>
      <c r="C17" s="1" t="s">
        <v>63</v>
      </c>
      <c r="D17" s="5">
        <f>SUM(E17:H17)</f>
        <v>72900</v>
      </c>
      <c r="E17" s="6"/>
      <c r="F17" s="6"/>
      <c r="G17" s="6"/>
      <c r="H17" s="7">
        <v>72900</v>
      </c>
      <c r="I17" s="5">
        <f>SUM(J17:M17)</f>
        <v>103900</v>
      </c>
      <c r="J17" s="6"/>
      <c r="K17" s="6"/>
      <c r="L17" s="6"/>
      <c r="M17" s="7">
        <v>103900</v>
      </c>
      <c r="N17" s="5">
        <f>SUM(O17:R17)</f>
        <v>103426.93</v>
      </c>
      <c r="O17" s="6"/>
      <c r="P17" s="6"/>
      <c r="Q17" s="6"/>
      <c r="R17" s="7">
        <v>103426.93</v>
      </c>
      <c r="S17" s="26">
        <f t="shared" si="5"/>
        <v>0.9954468719923002</v>
      </c>
      <c r="T17" s="27" t="str">
        <f t="shared" si="6"/>
        <v xml:space="preserve"> </v>
      </c>
      <c r="U17" s="27" t="str">
        <f t="shared" si="7"/>
        <v xml:space="preserve"> </v>
      </c>
      <c r="V17" s="27" t="str">
        <f t="shared" si="8"/>
        <v xml:space="preserve"> </v>
      </c>
      <c r="W17" s="27">
        <f t="shared" si="8"/>
        <v>0.9954468719923002</v>
      </c>
    </row>
    <row r="18" spans="1:23" s="32" customFormat="1" ht="29.25" customHeight="1" x14ac:dyDescent="0.2">
      <c r="A18" s="72"/>
      <c r="B18" s="73"/>
      <c r="C18" s="89" t="s">
        <v>12</v>
      </c>
      <c r="D18" s="5">
        <f>SUM(D20:D28)</f>
        <v>57310</v>
      </c>
      <c r="E18" s="6">
        <f t="shared" ref="E18:R18" si="12">SUM(E20:E28)</f>
        <v>0</v>
      </c>
      <c r="F18" s="6">
        <f t="shared" si="12"/>
        <v>0</v>
      </c>
      <c r="G18" s="6">
        <f t="shared" si="12"/>
        <v>0</v>
      </c>
      <c r="H18" s="7">
        <f t="shared" si="12"/>
        <v>57310</v>
      </c>
      <c r="I18" s="5">
        <f>SUM(I20:I28)</f>
        <v>300730.09999999998</v>
      </c>
      <c r="J18" s="6">
        <f t="shared" si="12"/>
        <v>0</v>
      </c>
      <c r="K18" s="6">
        <f t="shared" si="12"/>
        <v>130238.9</v>
      </c>
      <c r="L18" s="6">
        <f t="shared" si="12"/>
        <v>0</v>
      </c>
      <c r="M18" s="7">
        <f t="shared" si="12"/>
        <v>170491.19999999998</v>
      </c>
      <c r="N18" s="5">
        <f t="shared" si="12"/>
        <v>278235.25000000006</v>
      </c>
      <c r="O18" s="6">
        <f t="shared" si="12"/>
        <v>0</v>
      </c>
      <c r="P18" s="6">
        <f t="shared" si="12"/>
        <v>119155.2</v>
      </c>
      <c r="Q18" s="6">
        <f t="shared" si="12"/>
        <v>0</v>
      </c>
      <c r="R18" s="7">
        <f t="shared" si="12"/>
        <v>159080.05000000005</v>
      </c>
      <c r="S18" s="26">
        <f t="shared" si="5"/>
        <v>0.92519920686356327</v>
      </c>
      <c r="T18" s="27" t="str">
        <f t="shared" si="6"/>
        <v xml:space="preserve"> </v>
      </c>
      <c r="U18" s="27">
        <f t="shared" si="7"/>
        <v>0.91489716206141181</v>
      </c>
      <c r="V18" s="27" t="str">
        <f t="shared" si="8"/>
        <v xml:space="preserve"> </v>
      </c>
      <c r="W18" s="27">
        <f t="shared" si="8"/>
        <v>0.93306897951331247</v>
      </c>
    </row>
    <row r="19" spans="1:23" s="8" customFormat="1" ht="16.5" x14ac:dyDescent="0.2">
      <c r="A19" s="74"/>
      <c r="B19" s="75"/>
      <c r="C19" s="4" t="s">
        <v>10</v>
      </c>
      <c r="D19" s="35"/>
      <c r="E19" s="36"/>
      <c r="F19" s="36"/>
      <c r="G19" s="36"/>
      <c r="H19" s="37"/>
      <c r="I19" s="35"/>
      <c r="J19" s="36"/>
      <c r="K19" s="36"/>
      <c r="L19" s="36"/>
      <c r="M19" s="37"/>
      <c r="N19" s="35"/>
      <c r="O19" s="36"/>
      <c r="P19" s="36"/>
      <c r="Q19" s="36"/>
      <c r="R19" s="37"/>
      <c r="S19" s="29" t="str">
        <f t="shared" si="5"/>
        <v xml:space="preserve"> </v>
      </c>
      <c r="T19" s="30" t="str">
        <f t="shared" si="6"/>
        <v xml:space="preserve"> </v>
      </c>
      <c r="U19" s="30" t="str">
        <f t="shared" si="7"/>
        <v xml:space="preserve"> </v>
      </c>
      <c r="V19" s="30" t="str">
        <f t="shared" si="8"/>
        <v xml:space="preserve"> </v>
      </c>
      <c r="W19" s="30" t="str">
        <f t="shared" si="8"/>
        <v xml:space="preserve"> </v>
      </c>
    </row>
    <row r="20" spans="1:23" s="8" customFormat="1" ht="63" customHeight="1" x14ac:dyDescent="0.2">
      <c r="A20" s="72">
        <v>1136</v>
      </c>
      <c r="B20" s="76">
        <v>31002</v>
      </c>
      <c r="C20" s="1" t="s">
        <v>64</v>
      </c>
      <c r="D20" s="5">
        <f t="shared" ref="D20:D27" si="13">SUM(E20:H20)</f>
        <v>25000</v>
      </c>
      <c r="E20" s="6"/>
      <c r="F20" s="6"/>
      <c r="G20" s="6"/>
      <c r="H20" s="7">
        <v>25000</v>
      </c>
      <c r="I20" s="5">
        <f t="shared" ref="I20:I27" si="14">SUM(J20:M20)</f>
        <v>114816.3</v>
      </c>
      <c r="J20" s="6"/>
      <c r="K20" s="6"/>
      <c r="L20" s="6"/>
      <c r="M20" s="7">
        <v>114816.3</v>
      </c>
      <c r="N20" s="5">
        <f t="shared" ref="N20:N27" si="15">SUM(O20:R20)</f>
        <v>112350.71</v>
      </c>
      <c r="O20" s="6"/>
      <c r="P20" s="6"/>
      <c r="Q20" s="6"/>
      <c r="R20" s="7">
        <v>112350.71</v>
      </c>
      <c r="S20" s="26">
        <f t="shared" si="5"/>
        <v>0.97852578423098469</v>
      </c>
      <c r="T20" s="27" t="str">
        <f t="shared" si="6"/>
        <v xml:space="preserve"> </v>
      </c>
      <c r="U20" s="27" t="str">
        <f t="shared" si="7"/>
        <v xml:space="preserve"> </v>
      </c>
      <c r="V20" s="27" t="str">
        <f t="shared" si="8"/>
        <v xml:space="preserve"> </v>
      </c>
      <c r="W20" s="27">
        <f t="shared" si="8"/>
        <v>0.97852578423098469</v>
      </c>
    </row>
    <row r="21" spans="1:23" s="8" customFormat="1" ht="75.75" customHeight="1" x14ac:dyDescent="0.2">
      <c r="A21" s="72">
        <v>1136</v>
      </c>
      <c r="B21" s="76">
        <v>31005</v>
      </c>
      <c r="C21" s="1" t="s">
        <v>180</v>
      </c>
      <c r="D21" s="5">
        <f t="shared" ref="D21" si="16">SUM(E21:H21)</f>
        <v>0</v>
      </c>
      <c r="E21" s="6"/>
      <c r="F21" s="6"/>
      <c r="G21" s="6"/>
      <c r="H21" s="7"/>
      <c r="I21" s="5">
        <f t="shared" ref="I21" si="17">SUM(J21:M21)</f>
        <v>21516</v>
      </c>
      <c r="J21" s="6"/>
      <c r="K21" s="6"/>
      <c r="L21" s="6"/>
      <c r="M21" s="7">
        <v>21516</v>
      </c>
      <c r="N21" s="5">
        <f t="shared" ref="N21" si="18">SUM(O21:R21)</f>
        <v>15900</v>
      </c>
      <c r="O21" s="6"/>
      <c r="P21" s="6"/>
      <c r="Q21" s="6"/>
      <c r="R21" s="7">
        <v>15900</v>
      </c>
      <c r="S21" s="26">
        <f t="shared" si="5"/>
        <v>0.73898494143892912</v>
      </c>
      <c r="T21" s="27" t="str">
        <f t="shared" si="6"/>
        <v xml:space="preserve"> </v>
      </c>
      <c r="U21" s="27" t="str">
        <f t="shared" si="7"/>
        <v xml:space="preserve"> </v>
      </c>
      <c r="V21" s="27" t="str">
        <f t="shared" si="8"/>
        <v xml:space="preserve"> </v>
      </c>
      <c r="W21" s="27">
        <f t="shared" si="8"/>
        <v>0.73898494143892912</v>
      </c>
    </row>
    <row r="22" spans="1:23" s="8" customFormat="1" ht="82.5" x14ac:dyDescent="0.2">
      <c r="A22" s="72">
        <v>1213</v>
      </c>
      <c r="B22" s="76">
        <v>31001</v>
      </c>
      <c r="C22" s="1" t="s">
        <v>65</v>
      </c>
      <c r="D22" s="5">
        <f t="shared" si="13"/>
        <v>3000</v>
      </c>
      <c r="E22" s="6"/>
      <c r="F22" s="6"/>
      <c r="G22" s="6"/>
      <c r="H22" s="7">
        <v>3000</v>
      </c>
      <c r="I22" s="5">
        <f t="shared" si="14"/>
        <v>3000</v>
      </c>
      <c r="J22" s="6"/>
      <c r="K22" s="6"/>
      <c r="L22" s="6"/>
      <c r="M22" s="7">
        <v>3000</v>
      </c>
      <c r="N22" s="5">
        <f t="shared" si="15"/>
        <v>2983.5</v>
      </c>
      <c r="O22" s="6"/>
      <c r="P22" s="6"/>
      <c r="Q22" s="6"/>
      <c r="R22" s="7">
        <v>2983.5</v>
      </c>
      <c r="S22" s="26">
        <f t="shared" si="5"/>
        <v>0.99450000000000005</v>
      </c>
      <c r="T22" s="27" t="str">
        <f t="shared" si="6"/>
        <v xml:space="preserve"> </v>
      </c>
      <c r="U22" s="27" t="str">
        <f t="shared" si="7"/>
        <v xml:space="preserve"> </v>
      </c>
      <c r="V22" s="27" t="str">
        <f t="shared" si="8"/>
        <v xml:space="preserve"> </v>
      </c>
      <c r="W22" s="27">
        <f t="shared" si="8"/>
        <v>0.99450000000000005</v>
      </c>
    </row>
    <row r="23" spans="1:23" s="8" customFormat="1" ht="66" x14ac:dyDescent="0.2">
      <c r="A23" s="72">
        <v>1213</v>
      </c>
      <c r="B23" s="76">
        <v>31002</v>
      </c>
      <c r="C23" s="1" t="s">
        <v>70</v>
      </c>
      <c r="D23" s="5">
        <f t="shared" si="13"/>
        <v>2550</v>
      </c>
      <c r="E23" s="6"/>
      <c r="F23" s="6"/>
      <c r="G23" s="6"/>
      <c r="H23" s="7">
        <v>2550</v>
      </c>
      <c r="I23" s="5">
        <f t="shared" si="14"/>
        <v>11536.9</v>
      </c>
      <c r="J23" s="6"/>
      <c r="K23" s="6"/>
      <c r="L23" s="6"/>
      <c r="M23" s="7">
        <v>11536.9</v>
      </c>
      <c r="N23" s="5">
        <f t="shared" si="15"/>
        <v>11157.93</v>
      </c>
      <c r="O23" s="6"/>
      <c r="P23" s="6"/>
      <c r="Q23" s="6"/>
      <c r="R23" s="7">
        <v>11157.93</v>
      </c>
      <c r="S23" s="26">
        <f t="shared" si="5"/>
        <v>0.96715148783468696</v>
      </c>
      <c r="T23" s="27" t="str">
        <f t="shared" si="6"/>
        <v xml:space="preserve"> </v>
      </c>
      <c r="U23" s="27" t="str">
        <f t="shared" si="7"/>
        <v xml:space="preserve"> </v>
      </c>
      <c r="V23" s="27" t="str">
        <f t="shared" si="8"/>
        <v xml:space="preserve"> </v>
      </c>
      <c r="W23" s="27">
        <f t="shared" si="8"/>
        <v>0.96715148783468696</v>
      </c>
    </row>
    <row r="24" spans="1:23" s="8" customFormat="1" ht="82.5" x14ac:dyDescent="0.2">
      <c r="A24" s="72">
        <v>1213</v>
      </c>
      <c r="B24" s="76">
        <v>31003</v>
      </c>
      <c r="C24" s="1" t="s">
        <v>69</v>
      </c>
      <c r="D24" s="5">
        <f t="shared" si="13"/>
        <v>8000</v>
      </c>
      <c r="E24" s="6"/>
      <c r="F24" s="6"/>
      <c r="G24" s="6"/>
      <c r="H24" s="7">
        <v>8000</v>
      </c>
      <c r="I24" s="5">
        <f t="shared" si="14"/>
        <v>0</v>
      </c>
      <c r="J24" s="6"/>
      <c r="K24" s="6"/>
      <c r="L24" s="6"/>
      <c r="M24" s="7"/>
      <c r="N24" s="5">
        <f t="shared" si="15"/>
        <v>0</v>
      </c>
      <c r="O24" s="6"/>
      <c r="P24" s="6"/>
      <c r="Q24" s="6"/>
      <c r="R24" s="7"/>
      <c r="S24" s="26" t="str">
        <f t="shared" si="5"/>
        <v xml:space="preserve"> </v>
      </c>
      <c r="T24" s="27" t="str">
        <f t="shared" si="6"/>
        <v xml:space="preserve"> </v>
      </c>
      <c r="U24" s="27" t="str">
        <f t="shared" si="7"/>
        <v xml:space="preserve"> </v>
      </c>
      <c r="V24" s="27" t="str">
        <f t="shared" si="8"/>
        <v xml:space="preserve"> </v>
      </c>
      <c r="W24" s="27" t="str">
        <f t="shared" si="8"/>
        <v xml:space="preserve"> </v>
      </c>
    </row>
    <row r="25" spans="1:23" s="8" customFormat="1" ht="99" x14ac:dyDescent="0.2">
      <c r="A25" s="72">
        <v>1213</v>
      </c>
      <c r="B25" s="76">
        <v>31004</v>
      </c>
      <c r="C25" s="1" t="s">
        <v>68</v>
      </c>
      <c r="D25" s="5">
        <f t="shared" si="13"/>
        <v>3100</v>
      </c>
      <c r="E25" s="6"/>
      <c r="F25" s="6"/>
      <c r="G25" s="6"/>
      <c r="H25" s="7">
        <v>3100</v>
      </c>
      <c r="I25" s="5">
        <f t="shared" si="14"/>
        <v>3100</v>
      </c>
      <c r="J25" s="6"/>
      <c r="K25" s="6"/>
      <c r="L25" s="6"/>
      <c r="M25" s="7">
        <v>3100</v>
      </c>
      <c r="N25" s="5">
        <f t="shared" si="15"/>
        <v>2925.79</v>
      </c>
      <c r="O25" s="6"/>
      <c r="P25" s="6"/>
      <c r="Q25" s="6"/>
      <c r="R25" s="7">
        <v>2925.79</v>
      </c>
      <c r="S25" s="26">
        <f t="shared" si="5"/>
        <v>0.9438032258064516</v>
      </c>
      <c r="T25" s="27" t="str">
        <f t="shared" si="6"/>
        <v xml:space="preserve"> </v>
      </c>
      <c r="U25" s="27" t="str">
        <f t="shared" si="7"/>
        <v xml:space="preserve"> </v>
      </c>
      <c r="V25" s="27" t="str">
        <f t="shared" si="8"/>
        <v xml:space="preserve"> </v>
      </c>
      <c r="W25" s="27">
        <f t="shared" si="8"/>
        <v>0.9438032258064516</v>
      </c>
    </row>
    <row r="26" spans="1:23" s="8" customFormat="1" ht="78" customHeight="1" x14ac:dyDescent="0.2">
      <c r="A26" s="72">
        <v>1213</v>
      </c>
      <c r="B26" s="76">
        <v>31005</v>
      </c>
      <c r="C26" s="1" t="s">
        <v>67</v>
      </c>
      <c r="D26" s="5">
        <f t="shared" si="13"/>
        <v>13000</v>
      </c>
      <c r="E26" s="6"/>
      <c r="F26" s="6"/>
      <c r="G26" s="6"/>
      <c r="H26" s="7">
        <v>13000</v>
      </c>
      <c r="I26" s="5">
        <f t="shared" si="14"/>
        <v>13000</v>
      </c>
      <c r="J26" s="6"/>
      <c r="K26" s="6"/>
      <c r="L26" s="6"/>
      <c r="M26" s="7">
        <v>13000</v>
      </c>
      <c r="N26" s="5">
        <f t="shared" si="15"/>
        <v>10293.700000000001</v>
      </c>
      <c r="O26" s="6"/>
      <c r="P26" s="6"/>
      <c r="Q26" s="6"/>
      <c r="R26" s="7">
        <v>10293.700000000001</v>
      </c>
      <c r="S26" s="26">
        <f t="shared" si="5"/>
        <v>0.79182307692307696</v>
      </c>
      <c r="T26" s="27" t="str">
        <f t="shared" si="6"/>
        <v xml:space="preserve"> </v>
      </c>
      <c r="U26" s="27" t="str">
        <f t="shared" si="7"/>
        <v xml:space="preserve"> </v>
      </c>
      <c r="V26" s="27" t="str">
        <f t="shared" si="8"/>
        <v xml:space="preserve"> </v>
      </c>
      <c r="W26" s="27">
        <f t="shared" si="8"/>
        <v>0.79182307692307696</v>
      </c>
    </row>
    <row r="27" spans="1:23" s="8" customFormat="1" ht="63.75" customHeight="1" x14ac:dyDescent="0.2">
      <c r="A27" s="72">
        <v>1213</v>
      </c>
      <c r="B27" s="76">
        <v>31006</v>
      </c>
      <c r="C27" s="1" t="s">
        <v>66</v>
      </c>
      <c r="D27" s="5">
        <f t="shared" si="13"/>
        <v>2660</v>
      </c>
      <c r="E27" s="6"/>
      <c r="F27" s="6"/>
      <c r="G27" s="6"/>
      <c r="H27" s="7">
        <v>2660</v>
      </c>
      <c r="I27" s="5">
        <f t="shared" si="14"/>
        <v>3522</v>
      </c>
      <c r="J27" s="6"/>
      <c r="K27" s="6"/>
      <c r="L27" s="6"/>
      <c r="M27" s="7">
        <v>3522</v>
      </c>
      <c r="N27" s="5">
        <f t="shared" si="15"/>
        <v>3468.42</v>
      </c>
      <c r="O27" s="6"/>
      <c r="P27" s="6"/>
      <c r="Q27" s="6"/>
      <c r="R27" s="7">
        <v>3468.42</v>
      </c>
      <c r="S27" s="26">
        <f t="shared" si="5"/>
        <v>0.98478705281090295</v>
      </c>
      <c r="T27" s="27" t="str">
        <f t="shared" si="6"/>
        <v xml:space="preserve"> </v>
      </c>
      <c r="U27" s="27" t="str">
        <f t="shared" si="7"/>
        <v xml:space="preserve"> </v>
      </c>
      <c r="V27" s="27" t="str">
        <f t="shared" si="8"/>
        <v xml:space="preserve"> </v>
      </c>
      <c r="W27" s="27">
        <f t="shared" si="8"/>
        <v>0.98478705281090295</v>
      </c>
    </row>
    <row r="28" spans="1:23" s="8" customFormat="1" ht="60.75" customHeight="1" x14ac:dyDescent="0.2">
      <c r="A28" s="72">
        <v>1213</v>
      </c>
      <c r="B28" s="76">
        <v>31009</v>
      </c>
      <c r="C28" s="1" t="s">
        <v>181</v>
      </c>
      <c r="D28" s="5">
        <f t="shared" ref="D28" si="19">SUM(E28:H28)</f>
        <v>0</v>
      </c>
      <c r="E28" s="6"/>
      <c r="F28" s="6"/>
      <c r="G28" s="6"/>
      <c r="H28" s="7"/>
      <c r="I28" s="5">
        <f t="shared" ref="I28" si="20">SUM(J28:M28)</f>
        <v>130238.9</v>
      </c>
      <c r="J28" s="6"/>
      <c r="K28" s="6">
        <v>130238.9</v>
      </c>
      <c r="L28" s="6"/>
      <c r="M28" s="7"/>
      <c r="N28" s="5">
        <f t="shared" ref="N28" si="21">SUM(O28:R28)</f>
        <v>119155.2</v>
      </c>
      <c r="O28" s="6"/>
      <c r="P28" s="6">
        <v>119155.2</v>
      </c>
      <c r="Q28" s="6"/>
      <c r="R28" s="7"/>
      <c r="S28" s="26">
        <f t="shared" si="5"/>
        <v>0.91489716206141181</v>
      </c>
      <c r="T28" s="27" t="str">
        <f t="shared" si="6"/>
        <v xml:space="preserve"> </v>
      </c>
      <c r="U28" s="27">
        <f t="shared" si="7"/>
        <v>0.91489716206141181</v>
      </c>
      <c r="V28" s="27" t="str">
        <f t="shared" si="8"/>
        <v xml:space="preserve"> </v>
      </c>
      <c r="W28" s="27" t="str">
        <f t="shared" si="8"/>
        <v xml:space="preserve"> </v>
      </c>
    </row>
    <row r="29" spans="1:23" s="32" customFormat="1" ht="24" customHeight="1" x14ac:dyDescent="0.2">
      <c r="A29" s="72"/>
      <c r="B29" s="73"/>
      <c r="C29" s="89" t="s">
        <v>183</v>
      </c>
      <c r="D29" s="5">
        <f>SUM(D30:D31)</f>
        <v>0</v>
      </c>
      <c r="E29" s="6">
        <f t="shared" ref="E29:R29" si="22">SUM(E30:E31)</f>
        <v>0</v>
      </c>
      <c r="F29" s="6">
        <f t="shared" si="22"/>
        <v>0</v>
      </c>
      <c r="G29" s="6">
        <f t="shared" si="22"/>
        <v>0</v>
      </c>
      <c r="H29" s="7">
        <f t="shared" si="22"/>
        <v>0</v>
      </c>
      <c r="I29" s="5">
        <f t="shared" si="22"/>
        <v>3325</v>
      </c>
      <c r="J29" s="6">
        <f t="shared" si="22"/>
        <v>0</v>
      </c>
      <c r="K29" s="6">
        <f t="shared" si="22"/>
        <v>0</v>
      </c>
      <c r="L29" s="6">
        <f t="shared" si="22"/>
        <v>0</v>
      </c>
      <c r="M29" s="7">
        <f t="shared" si="22"/>
        <v>3325</v>
      </c>
      <c r="N29" s="5">
        <f t="shared" si="22"/>
        <v>3197.49</v>
      </c>
      <c r="O29" s="6">
        <f t="shared" si="22"/>
        <v>0</v>
      </c>
      <c r="P29" s="6">
        <f t="shared" si="22"/>
        <v>0</v>
      </c>
      <c r="Q29" s="6">
        <f t="shared" si="22"/>
        <v>0</v>
      </c>
      <c r="R29" s="7">
        <f t="shared" si="22"/>
        <v>3197.49</v>
      </c>
      <c r="S29" s="26">
        <f t="shared" si="5"/>
        <v>0.96165112781954876</v>
      </c>
      <c r="T29" s="27" t="str">
        <f t="shared" si="6"/>
        <v xml:space="preserve"> </v>
      </c>
      <c r="U29" s="27" t="str">
        <f t="shared" si="7"/>
        <v xml:space="preserve"> </v>
      </c>
      <c r="V29" s="27" t="str">
        <f t="shared" si="8"/>
        <v xml:space="preserve"> </v>
      </c>
      <c r="W29" s="27">
        <f t="shared" si="8"/>
        <v>0.96165112781954876</v>
      </c>
    </row>
    <row r="30" spans="1:23" s="8" customFormat="1" ht="16.5" x14ac:dyDescent="0.2">
      <c r="A30" s="74"/>
      <c r="B30" s="75"/>
      <c r="C30" s="4" t="s">
        <v>10</v>
      </c>
      <c r="D30" s="35"/>
      <c r="E30" s="36"/>
      <c r="F30" s="36"/>
      <c r="G30" s="36"/>
      <c r="H30" s="37"/>
      <c r="I30" s="35"/>
      <c r="J30" s="36"/>
      <c r="K30" s="36"/>
      <c r="L30" s="36"/>
      <c r="M30" s="37"/>
      <c r="N30" s="35"/>
      <c r="O30" s="36"/>
      <c r="P30" s="36"/>
      <c r="Q30" s="36"/>
      <c r="R30" s="37"/>
      <c r="S30" s="26" t="str">
        <f t="shared" si="5"/>
        <v xml:space="preserve"> </v>
      </c>
      <c r="T30" s="27" t="str">
        <f t="shared" si="6"/>
        <v xml:space="preserve"> </v>
      </c>
      <c r="U30" s="27" t="str">
        <f t="shared" si="7"/>
        <v xml:space="preserve"> </v>
      </c>
      <c r="V30" s="27" t="str">
        <f t="shared" si="8"/>
        <v xml:space="preserve"> </v>
      </c>
      <c r="W30" s="27" t="str">
        <f t="shared" si="8"/>
        <v xml:space="preserve"> </v>
      </c>
    </row>
    <row r="31" spans="1:23" s="8" customFormat="1" ht="43.5" customHeight="1" x14ac:dyDescent="0.2">
      <c r="A31" s="72">
        <v>1092</v>
      </c>
      <c r="B31" s="76">
        <v>11002</v>
      </c>
      <c r="C31" s="1" t="s">
        <v>182</v>
      </c>
      <c r="D31" s="5">
        <f>SUM(E31:H31)</f>
        <v>0</v>
      </c>
      <c r="E31" s="6"/>
      <c r="F31" s="6"/>
      <c r="G31" s="6"/>
      <c r="H31" s="7"/>
      <c r="I31" s="5">
        <f>SUM(J31:M31)</f>
        <v>3325</v>
      </c>
      <c r="J31" s="6"/>
      <c r="K31" s="6"/>
      <c r="L31" s="6"/>
      <c r="M31" s="7">
        <v>3325</v>
      </c>
      <c r="N31" s="5">
        <f>SUM(O31:R31)</f>
        <v>3197.49</v>
      </c>
      <c r="O31" s="6"/>
      <c r="P31" s="6"/>
      <c r="Q31" s="6"/>
      <c r="R31" s="7">
        <v>3197.49</v>
      </c>
      <c r="S31" s="26">
        <f t="shared" si="5"/>
        <v>0.96165112781954876</v>
      </c>
      <c r="T31" s="27" t="str">
        <f t="shared" si="6"/>
        <v xml:space="preserve"> </v>
      </c>
      <c r="U31" s="27" t="str">
        <f t="shared" si="7"/>
        <v xml:space="preserve"> </v>
      </c>
      <c r="V31" s="27" t="str">
        <f t="shared" si="8"/>
        <v xml:space="preserve"> </v>
      </c>
      <c r="W31" s="27">
        <f t="shared" si="8"/>
        <v>0.96165112781954876</v>
      </c>
    </row>
    <row r="32" spans="1:23" s="32" customFormat="1" ht="27" customHeight="1" x14ac:dyDescent="0.2">
      <c r="A32" s="72"/>
      <c r="B32" s="73"/>
      <c r="C32" s="89" t="s">
        <v>72</v>
      </c>
      <c r="D32" s="5">
        <f>SUM(D34:D37)</f>
        <v>370414.6</v>
      </c>
      <c r="E32" s="6">
        <f t="shared" ref="E32:R32" si="23">SUM(E34:E37)</f>
        <v>0</v>
      </c>
      <c r="F32" s="6">
        <f t="shared" si="23"/>
        <v>0</v>
      </c>
      <c r="G32" s="6">
        <f t="shared" si="23"/>
        <v>0</v>
      </c>
      <c r="H32" s="7">
        <f t="shared" si="23"/>
        <v>370414.6</v>
      </c>
      <c r="I32" s="5">
        <f>SUM(I34:I37)</f>
        <v>825846.08</v>
      </c>
      <c r="J32" s="6">
        <f t="shared" si="23"/>
        <v>103815</v>
      </c>
      <c r="K32" s="6">
        <f t="shared" si="23"/>
        <v>0</v>
      </c>
      <c r="L32" s="6">
        <f t="shared" si="23"/>
        <v>9143</v>
      </c>
      <c r="M32" s="7">
        <f t="shared" si="23"/>
        <v>712888.08</v>
      </c>
      <c r="N32" s="5">
        <f t="shared" si="23"/>
        <v>675168.71</v>
      </c>
      <c r="O32" s="6">
        <f t="shared" si="23"/>
        <v>0</v>
      </c>
      <c r="P32" s="6">
        <f t="shared" si="23"/>
        <v>0</v>
      </c>
      <c r="Q32" s="6">
        <f t="shared" si="23"/>
        <v>8760</v>
      </c>
      <c r="R32" s="7">
        <f t="shared" si="23"/>
        <v>666408.71</v>
      </c>
      <c r="S32" s="26">
        <f t="shared" si="5"/>
        <v>0.81754787768684445</v>
      </c>
      <c r="T32" s="27">
        <f t="shared" si="6"/>
        <v>0</v>
      </c>
      <c r="U32" s="27" t="str">
        <f t="shared" si="7"/>
        <v xml:space="preserve"> </v>
      </c>
      <c r="V32" s="27">
        <f t="shared" si="8"/>
        <v>0.95811002953078861</v>
      </c>
      <c r="W32" s="27">
        <f t="shared" si="8"/>
        <v>0.93480130850273158</v>
      </c>
    </row>
    <row r="33" spans="1:23" s="8" customFormat="1" ht="16.5" x14ac:dyDescent="0.2">
      <c r="A33" s="74"/>
      <c r="B33" s="75"/>
      <c r="C33" s="4" t="s">
        <v>10</v>
      </c>
      <c r="D33" s="35"/>
      <c r="E33" s="36"/>
      <c r="F33" s="36"/>
      <c r="G33" s="36"/>
      <c r="H33" s="37"/>
      <c r="I33" s="35"/>
      <c r="J33" s="36"/>
      <c r="K33" s="36"/>
      <c r="L33" s="36"/>
      <c r="M33" s="37"/>
      <c r="N33" s="35"/>
      <c r="O33" s="36"/>
      <c r="P33" s="36"/>
      <c r="Q33" s="36"/>
      <c r="R33" s="37"/>
      <c r="S33" s="26" t="str">
        <f t="shared" si="5"/>
        <v xml:space="preserve"> </v>
      </c>
      <c r="T33" s="27" t="str">
        <f t="shared" si="6"/>
        <v xml:space="preserve"> </v>
      </c>
      <c r="U33" s="27" t="str">
        <f t="shared" si="7"/>
        <v xml:space="preserve"> </v>
      </c>
      <c r="V33" s="27" t="str">
        <f t="shared" si="8"/>
        <v xml:space="preserve"> </v>
      </c>
      <c r="W33" s="27" t="str">
        <f t="shared" si="8"/>
        <v xml:space="preserve"> </v>
      </c>
    </row>
    <row r="34" spans="1:23" s="8" customFormat="1" ht="61.5" customHeight="1" x14ac:dyDescent="0.2">
      <c r="A34" s="72">
        <v>1080</v>
      </c>
      <c r="B34" s="76">
        <v>11018</v>
      </c>
      <c r="C34" s="1" t="s">
        <v>184</v>
      </c>
      <c r="D34" s="5">
        <f>SUM(E34:H34)</f>
        <v>0</v>
      </c>
      <c r="E34" s="6"/>
      <c r="F34" s="6"/>
      <c r="G34" s="6"/>
      <c r="H34" s="7"/>
      <c r="I34" s="5">
        <f>SUM(J34:M34)</f>
        <v>244564.48000000001</v>
      </c>
      <c r="J34" s="6"/>
      <c r="K34" s="6"/>
      <c r="L34" s="6">
        <v>3200</v>
      </c>
      <c r="M34" s="7">
        <v>241364.48000000001</v>
      </c>
      <c r="N34" s="5">
        <f>SUM(O34:R34)</f>
        <v>244555.39</v>
      </c>
      <c r="O34" s="6"/>
      <c r="P34" s="6"/>
      <c r="Q34" s="6">
        <v>3200</v>
      </c>
      <c r="R34" s="7">
        <v>241355.39</v>
      </c>
      <c r="S34" s="26">
        <f t="shared" si="5"/>
        <v>0.999962831887934</v>
      </c>
      <c r="T34" s="27" t="str">
        <f t="shared" si="6"/>
        <v xml:space="preserve"> </v>
      </c>
      <c r="U34" s="27" t="str">
        <f t="shared" si="7"/>
        <v xml:space="preserve"> </v>
      </c>
      <c r="V34" s="27">
        <f t="shared" si="8"/>
        <v>1</v>
      </c>
      <c r="W34" s="27">
        <f t="shared" si="8"/>
        <v>0.99996233911468668</v>
      </c>
    </row>
    <row r="35" spans="1:23" s="38" customFormat="1" ht="59.25" customHeight="1" x14ac:dyDescent="0.2">
      <c r="A35" s="72">
        <v>1080</v>
      </c>
      <c r="B35" s="76">
        <v>31001</v>
      </c>
      <c r="C35" s="1" t="s">
        <v>73</v>
      </c>
      <c r="D35" s="5">
        <f>SUM(E35:H35)</f>
        <v>361914.6</v>
      </c>
      <c r="E35" s="6"/>
      <c r="F35" s="6"/>
      <c r="G35" s="6"/>
      <c r="H35" s="7">
        <v>361914.6</v>
      </c>
      <c r="I35" s="5">
        <f>SUM(J35:M35)</f>
        <v>433023.6</v>
      </c>
      <c r="J35" s="6"/>
      <c r="K35" s="6"/>
      <c r="L35" s="6"/>
      <c r="M35" s="7">
        <v>433023.6</v>
      </c>
      <c r="N35" s="5">
        <f>SUM(O35:R35)</f>
        <v>425053.32</v>
      </c>
      <c r="O35" s="6"/>
      <c r="P35" s="6"/>
      <c r="Q35" s="6"/>
      <c r="R35" s="7">
        <v>425053.32</v>
      </c>
      <c r="S35" s="26">
        <f t="shared" si="5"/>
        <v>0.98159389003278352</v>
      </c>
      <c r="T35" s="27" t="str">
        <f t="shared" si="6"/>
        <v xml:space="preserve"> </v>
      </c>
      <c r="U35" s="27" t="str">
        <f t="shared" si="7"/>
        <v xml:space="preserve"> </v>
      </c>
      <c r="V35" s="27" t="str">
        <f t="shared" si="8"/>
        <v xml:space="preserve"> </v>
      </c>
      <c r="W35" s="27">
        <f t="shared" si="8"/>
        <v>0.98159389003278352</v>
      </c>
    </row>
    <row r="36" spans="1:23" s="38" customFormat="1" ht="60" customHeight="1" x14ac:dyDescent="0.2">
      <c r="A36" s="72">
        <v>1080</v>
      </c>
      <c r="B36" s="76">
        <v>31002</v>
      </c>
      <c r="C36" s="1" t="s">
        <v>185</v>
      </c>
      <c r="D36" s="5">
        <f>SUM(E36:H36)</f>
        <v>0</v>
      </c>
      <c r="E36" s="6"/>
      <c r="F36" s="6"/>
      <c r="G36" s="6"/>
      <c r="H36" s="7"/>
      <c r="I36" s="5">
        <f>SUM(J36:M36)</f>
        <v>109758</v>
      </c>
      <c r="J36" s="6">
        <v>103815</v>
      </c>
      <c r="K36" s="6"/>
      <c r="L36" s="6">
        <v>5943</v>
      </c>
      <c r="M36" s="7"/>
      <c r="N36" s="5">
        <f>SUM(O36:R36)</f>
        <v>5560</v>
      </c>
      <c r="O36" s="6"/>
      <c r="P36" s="6"/>
      <c r="Q36" s="6">
        <v>5560</v>
      </c>
      <c r="R36" s="7"/>
      <c r="S36" s="26">
        <f t="shared" si="5"/>
        <v>5.0656899724849214E-2</v>
      </c>
      <c r="T36" s="27">
        <f t="shared" si="6"/>
        <v>0</v>
      </c>
      <c r="U36" s="27" t="str">
        <f t="shared" si="7"/>
        <v xml:space="preserve"> </v>
      </c>
      <c r="V36" s="27">
        <f t="shared" si="8"/>
        <v>0.93555443378764935</v>
      </c>
      <c r="W36" s="27" t="str">
        <f t="shared" si="8"/>
        <v xml:space="preserve"> </v>
      </c>
    </row>
    <row r="37" spans="1:23" s="38" customFormat="1" ht="63" customHeight="1" x14ac:dyDescent="0.2">
      <c r="A37" s="72">
        <v>1080</v>
      </c>
      <c r="B37" s="76">
        <v>31003</v>
      </c>
      <c r="C37" s="1" t="s">
        <v>175</v>
      </c>
      <c r="D37" s="5">
        <f>SUM(E37:H37)</f>
        <v>8500</v>
      </c>
      <c r="E37" s="6"/>
      <c r="F37" s="6"/>
      <c r="G37" s="6"/>
      <c r="H37" s="7">
        <v>8500</v>
      </c>
      <c r="I37" s="5">
        <f>SUM(J37:M37)</f>
        <v>38500</v>
      </c>
      <c r="J37" s="6"/>
      <c r="K37" s="6"/>
      <c r="L37" s="6"/>
      <c r="M37" s="7">
        <v>38500</v>
      </c>
      <c r="N37" s="5">
        <f>SUM(O37:R37)</f>
        <v>0</v>
      </c>
      <c r="O37" s="6"/>
      <c r="P37" s="6"/>
      <c r="Q37" s="6"/>
      <c r="R37" s="7"/>
      <c r="S37" s="26">
        <f t="shared" si="5"/>
        <v>0</v>
      </c>
      <c r="T37" s="27" t="str">
        <f t="shared" si="6"/>
        <v xml:space="preserve"> </v>
      </c>
      <c r="U37" s="27" t="str">
        <f t="shared" si="7"/>
        <v xml:space="preserve"> </v>
      </c>
      <c r="V37" s="27" t="str">
        <f t="shared" si="8"/>
        <v xml:space="preserve"> </v>
      </c>
      <c r="W37" s="27">
        <f t="shared" si="8"/>
        <v>0</v>
      </c>
    </row>
    <row r="38" spans="1:23" s="38" customFormat="1" ht="25.5" customHeight="1" x14ac:dyDescent="0.2">
      <c r="A38" s="72"/>
      <c r="B38" s="73"/>
      <c r="C38" s="89" t="s">
        <v>186</v>
      </c>
      <c r="D38" s="5">
        <f>SUM(D40:D41)</f>
        <v>0</v>
      </c>
      <c r="E38" s="6">
        <f t="shared" ref="E38:R38" si="24">SUM(E40:E41)</f>
        <v>0</v>
      </c>
      <c r="F38" s="6">
        <f t="shared" si="24"/>
        <v>0</v>
      </c>
      <c r="G38" s="6">
        <f t="shared" si="24"/>
        <v>0</v>
      </c>
      <c r="H38" s="7">
        <f t="shared" si="24"/>
        <v>0</v>
      </c>
      <c r="I38" s="5">
        <f t="shared" si="24"/>
        <v>46941.5</v>
      </c>
      <c r="J38" s="6">
        <f t="shared" si="24"/>
        <v>0</v>
      </c>
      <c r="K38" s="6">
        <f t="shared" si="24"/>
        <v>0</v>
      </c>
      <c r="L38" s="6">
        <f t="shared" si="24"/>
        <v>0</v>
      </c>
      <c r="M38" s="7">
        <f t="shared" si="24"/>
        <v>46941.5</v>
      </c>
      <c r="N38" s="5">
        <f t="shared" si="24"/>
        <v>28638.91</v>
      </c>
      <c r="O38" s="6">
        <f t="shared" si="24"/>
        <v>0</v>
      </c>
      <c r="P38" s="6">
        <f t="shared" si="24"/>
        <v>0</v>
      </c>
      <c r="Q38" s="6">
        <f t="shared" si="24"/>
        <v>0</v>
      </c>
      <c r="R38" s="7">
        <f t="shared" si="24"/>
        <v>28638.91</v>
      </c>
      <c r="S38" s="26">
        <f t="shared" si="5"/>
        <v>0.61009788779651264</v>
      </c>
      <c r="T38" s="27" t="str">
        <f t="shared" si="6"/>
        <v xml:space="preserve"> </v>
      </c>
      <c r="U38" s="27" t="str">
        <f t="shared" si="7"/>
        <v xml:space="preserve"> </v>
      </c>
      <c r="V38" s="27" t="str">
        <f t="shared" si="8"/>
        <v xml:space="preserve"> </v>
      </c>
      <c r="W38" s="27">
        <f t="shared" si="8"/>
        <v>0.61009788779651264</v>
      </c>
    </row>
    <row r="39" spans="1:23" s="38" customFormat="1" ht="16.5" x14ac:dyDescent="0.2">
      <c r="A39" s="74"/>
      <c r="B39" s="75"/>
      <c r="C39" s="4" t="s">
        <v>10</v>
      </c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29" t="str">
        <f t="shared" si="5"/>
        <v xml:space="preserve"> </v>
      </c>
      <c r="T39" s="30" t="str">
        <f t="shared" si="6"/>
        <v xml:space="preserve"> </v>
      </c>
      <c r="U39" s="30" t="str">
        <f t="shared" si="7"/>
        <v xml:space="preserve"> </v>
      </c>
      <c r="V39" s="30" t="str">
        <f t="shared" si="8"/>
        <v xml:space="preserve"> </v>
      </c>
      <c r="W39" s="30" t="str">
        <f t="shared" si="8"/>
        <v xml:space="preserve"> </v>
      </c>
    </row>
    <row r="40" spans="1:23" s="38" customFormat="1" ht="45" customHeight="1" x14ac:dyDescent="0.2">
      <c r="A40" s="72">
        <v>1087</v>
      </c>
      <c r="B40" s="76">
        <v>11002</v>
      </c>
      <c r="C40" s="1" t="s">
        <v>187</v>
      </c>
      <c r="D40" s="5">
        <f>SUM(E40:H40)</f>
        <v>0</v>
      </c>
      <c r="E40" s="6"/>
      <c r="F40" s="6"/>
      <c r="G40" s="6"/>
      <c r="H40" s="7"/>
      <c r="I40" s="5">
        <f>SUM(J40:M40)</f>
        <v>24826</v>
      </c>
      <c r="J40" s="6"/>
      <c r="K40" s="6"/>
      <c r="L40" s="6"/>
      <c r="M40" s="7">
        <v>24826</v>
      </c>
      <c r="N40" s="5">
        <f>SUM(O40:R40)</f>
        <v>23881.91</v>
      </c>
      <c r="O40" s="6"/>
      <c r="P40" s="6"/>
      <c r="Q40" s="6"/>
      <c r="R40" s="7">
        <v>23881.91</v>
      </c>
      <c r="S40" s="26">
        <f t="shared" si="5"/>
        <v>0.96197172319342628</v>
      </c>
      <c r="T40" s="27" t="str">
        <f t="shared" si="6"/>
        <v xml:space="preserve"> </v>
      </c>
      <c r="U40" s="27" t="str">
        <f t="shared" si="7"/>
        <v xml:space="preserve"> </v>
      </c>
      <c r="V40" s="27" t="str">
        <f t="shared" si="8"/>
        <v xml:space="preserve"> </v>
      </c>
      <c r="W40" s="27">
        <f t="shared" si="8"/>
        <v>0.96197172319342628</v>
      </c>
    </row>
    <row r="41" spans="1:23" s="38" customFormat="1" ht="42.75" customHeight="1" x14ac:dyDescent="0.2">
      <c r="A41" s="72">
        <v>1087</v>
      </c>
      <c r="B41" s="76">
        <v>31001</v>
      </c>
      <c r="C41" s="1" t="s">
        <v>188</v>
      </c>
      <c r="D41" s="5">
        <f>SUM(E41:H41)</f>
        <v>0</v>
      </c>
      <c r="E41" s="6"/>
      <c r="F41" s="6"/>
      <c r="G41" s="6"/>
      <c r="H41" s="7"/>
      <c r="I41" s="5">
        <f>SUM(J41:M41)</f>
        <v>22115.5</v>
      </c>
      <c r="J41" s="6"/>
      <c r="K41" s="6"/>
      <c r="L41" s="6"/>
      <c r="M41" s="7">
        <v>22115.5</v>
      </c>
      <c r="N41" s="5">
        <f>SUM(O41:R41)</f>
        <v>4757</v>
      </c>
      <c r="O41" s="6"/>
      <c r="P41" s="6"/>
      <c r="Q41" s="6"/>
      <c r="R41" s="7">
        <v>4757</v>
      </c>
      <c r="S41" s="26">
        <f t="shared" si="5"/>
        <v>0.21509800818430513</v>
      </c>
      <c r="T41" s="27" t="str">
        <f t="shared" si="6"/>
        <v xml:space="preserve"> </v>
      </c>
      <c r="U41" s="27" t="str">
        <f t="shared" si="7"/>
        <v xml:space="preserve"> </v>
      </c>
      <c r="V41" s="27" t="str">
        <f t="shared" si="8"/>
        <v xml:space="preserve"> </v>
      </c>
      <c r="W41" s="27">
        <f t="shared" si="8"/>
        <v>0.21509800818430513</v>
      </c>
    </row>
    <row r="42" spans="1:23" s="38" customFormat="1" ht="60.75" customHeight="1" x14ac:dyDescent="0.2">
      <c r="A42" s="72"/>
      <c r="B42" s="77"/>
      <c r="C42" s="89" t="s">
        <v>33</v>
      </c>
      <c r="D42" s="5">
        <f>SUM(D44,D45,D53,D54,D55,D56,D61,D73,D74,D81,D83,D84,D85,D271,D293,D294,D297,D298,D326,D327,D328,D329,D330,D331,D332,D333,D336,D340)</f>
        <v>56757295.200000003</v>
      </c>
      <c r="E42" s="6">
        <f>SUM(E44,E45,E53,E54,E55,E56,E61,E73,E74,E81,E83,E84,E85,E271,E293,E294,E297,E298,E326,E327,E328,E329,E330,E331,E332,E333,E336,E340)</f>
        <v>2194802.5999999996</v>
      </c>
      <c r="F42" s="6">
        <f t="shared" ref="F42:R42" si="25">SUM(F44,F45,F53,F54,F55,F56,F61,F73,F74,F81,F83,F84,F85,F271,F293,F294,F297,F298,F326,F327,F328,F329,F330,F331,F332,F333,F336,F340)</f>
        <v>52026930.200000003</v>
      </c>
      <c r="G42" s="6">
        <f t="shared" si="25"/>
        <v>2535562.4</v>
      </c>
      <c r="H42" s="7">
        <f t="shared" si="25"/>
        <v>0</v>
      </c>
      <c r="I42" s="5">
        <f t="shared" si="25"/>
        <v>58006118.599999994</v>
      </c>
      <c r="J42" s="6">
        <f t="shared" si="25"/>
        <v>7316010.5</v>
      </c>
      <c r="K42" s="6">
        <f t="shared" si="25"/>
        <v>48976295</v>
      </c>
      <c r="L42" s="6">
        <f t="shared" si="25"/>
        <v>1291730.3999999999</v>
      </c>
      <c r="M42" s="7">
        <f t="shared" si="25"/>
        <v>422082.7</v>
      </c>
      <c r="N42" s="5">
        <f t="shared" si="25"/>
        <v>54196365.875500001</v>
      </c>
      <c r="O42" s="6">
        <f t="shared" si="25"/>
        <v>7154618.4129999997</v>
      </c>
      <c r="P42" s="6">
        <f t="shared" si="25"/>
        <v>45537907.906499997</v>
      </c>
      <c r="Q42" s="6">
        <f t="shared" si="25"/>
        <v>1167101.246</v>
      </c>
      <c r="R42" s="7">
        <f t="shared" si="25"/>
        <v>336738.31000000006</v>
      </c>
      <c r="S42" s="26">
        <f t="shared" si="5"/>
        <v>0.93432153682318619</v>
      </c>
      <c r="T42" s="27">
        <f t="shared" si="6"/>
        <v>0.97793987761499246</v>
      </c>
      <c r="U42" s="27">
        <f t="shared" si="7"/>
        <v>0.92979487130457694</v>
      </c>
      <c r="V42" s="27">
        <f t="shared" si="8"/>
        <v>0.90351767365697988</v>
      </c>
      <c r="W42" s="27">
        <f t="shared" si="8"/>
        <v>0.79780173411513911</v>
      </c>
    </row>
    <row r="43" spans="1:23" s="38" customFormat="1" ht="24.75" customHeight="1" x14ac:dyDescent="0.2">
      <c r="A43" s="74"/>
      <c r="B43" s="75"/>
      <c r="C43" s="4" t="s">
        <v>10</v>
      </c>
      <c r="D43" s="35"/>
      <c r="E43" s="36"/>
      <c r="F43" s="36"/>
      <c r="G43" s="36"/>
      <c r="H43" s="37"/>
      <c r="I43" s="35"/>
      <c r="J43" s="36"/>
      <c r="K43" s="36"/>
      <c r="L43" s="36"/>
      <c r="M43" s="37"/>
      <c r="N43" s="35"/>
      <c r="O43" s="36"/>
      <c r="P43" s="36"/>
      <c r="Q43" s="36"/>
      <c r="R43" s="37"/>
      <c r="S43" s="29"/>
      <c r="T43" s="30"/>
      <c r="U43" s="30"/>
      <c r="V43" s="30"/>
      <c r="W43" s="30"/>
    </row>
    <row r="44" spans="1:23" s="38" customFormat="1" ht="91.5" customHeight="1" x14ac:dyDescent="0.2">
      <c r="A44" s="72">
        <v>1001</v>
      </c>
      <c r="B44" s="76">
        <v>31001</v>
      </c>
      <c r="C44" s="1" t="s">
        <v>523</v>
      </c>
      <c r="D44" s="5">
        <f>SUM(E44:H44)</f>
        <v>0</v>
      </c>
      <c r="E44" s="6">
        <f>SUM(E45:E51)</f>
        <v>0</v>
      </c>
      <c r="F44" s="6"/>
      <c r="G44" s="6">
        <f t="shared" ref="G44:K45" si="26">SUM(G45:G51)</f>
        <v>0</v>
      </c>
      <c r="H44" s="7">
        <f t="shared" ref="H44" si="27">SUM(H45:H51)</f>
        <v>0</v>
      </c>
      <c r="I44" s="5">
        <f>SUM(J44:M44)</f>
        <v>38870.6</v>
      </c>
      <c r="J44" s="6"/>
      <c r="K44" s="6"/>
      <c r="L44" s="6">
        <f t="shared" ref="L44:M45" si="28">SUM(L45:L51)</f>
        <v>0</v>
      </c>
      <c r="M44" s="7">
        <v>38870.6</v>
      </c>
      <c r="N44" s="5">
        <f>SUM(O44:R44)</f>
        <v>37219.94</v>
      </c>
      <c r="O44" s="6"/>
      <c r="P44" s="6"/>
      <c r="Q44" s="6">
        <f t="shared" ref="Q44" si="29">SUM(Q45:Q51)</f>
        <v>0</v>
      </c>
      <c r="R44" s="7">
        <v>37219.94</v>
      </c>
      <c r="S44" s="26">
        <f t="shared" si="5"/>
        <v>0.95753448621837589</v>
      </c>
      <c r="T44" s="27" t="str">
        <f t="shared" si="6"/>
        <v xml:space="preserve"> </v>
      </c>
      <c r="U44" s="27" t="str">
        <f t="shared" si="7"/>
        <v xml:space="preserve"> </v>
      </c>
      <c r="V44" s="27" t="str">
        <f t="shared" si="8"/>
        <v xml:space="preserve"> </v>
      </c>
      <c r="W44" s="27">
        <f t="shared" si="8"/>
        <v>0.95753448621837589</v>
      </c>
    </row>
    <row r="45" spans="1:23" s="38" customFormat="1" ht="43.5" customHeight="1" x14ac:dyDescent="0.2">
      <c r="A45" s="72">
        <v>1004</v>
      </c>
      <c r="B45" s="76">
        <v>31002</v>
      </c>
      <c r="C45" s="1" t="s">
        <v>253</v>
      </c>
      <c r="D45" s="5">
        <f>SUM(D46:D52)</f>
        <v>591154.30000000005</v>
      </c>
      <c r="E45" s="6">
        <f>SUM(E46:E52)</f>
        <v>0</v>
      </c>
      <c r="F45" s="6">
        <f t="shared" ref="F45" si="30">SUM(F46:F52)</f>
        <v>591154.30000000005</v>
      </c>
      <c r="G45" s="6">
        <f t="shared" si="26"/>
        <v>0</v>
      </c>
      <c r="H45" s="7">
        <f t="shared" si="26"/>
        <v>0</v>
      </c>
      <c r="I45" s="5">
        <f t="shared" si="26"/>
        <v>552790.69999999995</v>
      </c>
      <c r="J45" s="6">
        <f t="shared" si="26"/>
        <v>198933.8</v>
      </c>
      <c r="K45" s="6">
        <f t="shared" si="26"/>
        <v>353856.9</v>
      </c>
      <c r="L45" s="6">
        <f t="shared" si="28"/>
        <v>0</v>
      </c>
      <c r="M45" s="7">
        <f t="shared" si="28"/>
        <v>0</v>
      </c>
      <c r="N45" s="5">
        <f>SUM(N46:N52)</f>
        <v>546874.17000000004</v>
      </c>
      <c r="O45" s="6">
        <f t="shared" ref="O45" si="31">SUM(O46:O52)</f>
        <v>195657.42</v>
      </c>
      <c r="P45" s="6">
        <f t="shared" ref="P45:R45" si="32">SUM(P46:P52)</f>
        <v>351216.75</v>
      </c>
      <c r="Q45" s="6">
        <f t="shared" si="32"/>
        <v>0</v>
      </c>
      <c r="R45" s="7">
        <f t="shared" si="32"/>
        <v>0</v>
      </c>
      <c r="S45" s="26">
        <f t="shared" si="5"/>
        <v>0.98929697985150633</v>
      </c>
      <c r="T45" s="27">
        <f t="shared" si="6"/>
        <v>0.98353030002945718</v>
      </c>
      <c r="U45" s="27">
        <f t="shared" si="7"/>
        <v>0.99253893311109653</v>
      </c>
      <c r="V45" s="27" t="str">
        <f t="shared" si="8"/>
        <v xml:space="preserve"> </v>
      </c>
      <c r="W45" s="27" t="str">
        <f t="shared" si="8"/>
        <v xml:space="preserve"> </v>
      </c>
    </row>
    <row r="46" spans="1:23" s="38" customFormat="1" ht="42" customHeight="1" x14ac:dyDescent="0.2">
      <c r="A46" s="72"/>
      <c r="B46" s="76"/>
      <c r="C46" s="4" t="s">
        <v>137</v>
      </c>
      <c r="D46" s="35">
        <f>SUM(E46:H46)</f>
        <v>39511.199999999997</v>
      </c>
      <c r="E46" s="36">
        <v>0</v>
      </c>
      <c r="F46" s="36">
        <v>39511.199999999997</v>
      </c>
      <c r="G46" s="36"/>
      <c r="H46" s="37"/>
      <c r="I46" s="35">
        <f>SUM(J46:M46)</f>
        <v>0</v>
      </c>
      <c r="J46" s="36"/>
      <c r="K46" s="36">
        <f>+F46-39511.2</f>
        <v>0</v>
      </c>
      <c r="L46" s="36"/>
      <c r="M46" s="37"/>
      <c r="N46" s="35">
        <f t="shared" ref="N46:N52" si="33">SUM(O46:R46)</f>
        <v>0</v>
      </c>
      <c r="O46" s="36"/>
      <c r="P46" s="36">
        <v>0</v>
      </c>
      <c r="Q46" s="36"/>
      <c r="R46" s="37"/>
      <c r="S46" s="29" t="str">
        <f t="shared" si="5"/>
        <v xml:space="preserve"> </v>
      </c>
      <c r="T46" s="30" t="str">
        <f t="shared" si="6"/>
        <v xml:space="preserve"> </v>
      </c>
      <c r="U46" s="30" t="str">
        <f t="shared" si="7"/>
        <v xml:space="preserve"> </v>
      </c>
      <c r="V46" s="30" t="str">
        <f t="shared" si="8"/>
        <v xml:space="preserve"> </v>
      </c>
      <c r="W46" s="30" t="str">
        <f t="shared" si="8"/>
        <v xml:space="preserve"> </v>
      </c>
    </row>
    <row r="47" spans="1:23" s="38" customFormat="1" ht="49.5" customHeight="1" x14ac:dyDescent="0.2">
      <c r="A47" s="72"/>
      <c r="B47" s="76"/>
      <c r="C47" s="4" t="s">
        <v>138</v>
      </c>
      <c r="D47" s="35">
        <f t="shared" ref="D47:D52" si="34">SUM(E47:H47)</f>
        <v>105997.3</v>
      </c>
      <c r="E47" s="36"/>
      <c r="F47" s="36">
        <v>105997.3</v>
      </c>
      <c r="G47" s="36"/>
      <c r="H47" s="37"/>
      <c r="I47" s="35">
        <f t="shared" ref="I47:I52" si="35">SUM(J47:M47)</f>
        <v>0</v>
      </c>
      <c r="J47" s="36"/>
      <c r="K47" s="36">
        <f>+F47-105997.3</f>
        <v>0</v>
      </c>
      <c r="L47" s="36"/>
      <c r="M47" s="37"/>
      <c r="N47" s="35">
        <f t="shared" si="33"/>
        <v>0</v>
      </c>
      <c r="O47" s="36"/>
      <c r="P47" s="36">
        <v>0</v>
      </c>
      <c r="Q47" s="36"/>
      <c r="R47" s="37"/>
      <c r="S47" s="29" t="str">
        <f t="shared" si="5"/>
        <v xml:space="preserve"> </v>
      </c>
      <c r="T47" s="30" t="str">
        <f t="shared" si="6"/>
        <v xml:space="preserve"> </v>
      </c>
      <c r="U47" s="30" t="str">
        <f t="shared" si="7"/>
        <v xml:space="preserve"> </v>
      </c>
      <c r="V47" s="30" t="str">
        <f t="shared" si="8"/>
        <v xml:space="preserve"> </v>
      </c>
      <c r="W47" s="30" t="str">
        <f t="shared" si="8"/>
        <v xml:space="preserve"> </v>
      </c>
    </row>
    <row r="48" spans="1:23" s="38" customFormat="1" ht="60" customHeight="1" x14ac:dyDescent="0.2">
      <c r="A48" s="72"/>
      <c r="B48" s="76"/>
      <c r="C48" s="4" t="s">
        <v>141</v>
      </c>
      <c r="D48" s="35">
        <f t="shared" si="34"/>
        <v>113378.6</v>
      </c>
      <c r="E48" s="36"/>
      <c r="F48" s="36">
        <v>113378.6</v>
      </c>
      <c r="G48" s="36"/>
      <c r="H48" s="37"/>
      <c r="I48" s="35">
        <f t="shared" si="35"/>
        <v>106824.40000000001</v>
      </c>
      <c r="J48" s="36"/>
      <c r="K48" s="36">
        <f>+F48-6554.2</f>
        <v>106824.40000000001</v>
      </c>
      <c r="L48" s="36"/>
      <c r="M48" s="37"/>
      <c r="N48" s="35">
        <f t="shared" si="33"/>
        <v>105289.98</v>
      </c>
      <c r="O48" s="36"/>
      <c r="P48" s="36">
        <v>105289.98</v>
      </c>
      <c r="Q48" s="36"/>
      <c r="R48" s="37"/>
      <c r="S48" s="29">
        <f t="shared" si="5"/>
        <v>0.98563605318635061</v>
      </c>
      <c r="T48" s="30" t="str">
        <f t="shared" si="6"/>
        <v xml:space="preserve"> </v>
      </c>
      <c r="U48" s="30">
        <f t="shared" si="7"/>
        <v>0.98563605318635061</v>
      </c>
      <c r="V48" s="30" t="str">
        <f t="shared" si="8"/>
        <v xml:space="preserve"> </v>
      </c>
      <c r="W48" s="30" t="str">
        <f t="shared" si="8"/>
        <v xml:space="preserve"> </v>
      </c>
    </row>
    <row r="49" spans="1:23" s="38" customFormat="1" ht="78" customHeight="1" x14ac:dyDescent="0.2">
      <c r="A49" s="72"/>
      <c r="B49" s="76"/>
      <c r="C49" s="4" t="s">
        <v>835</v>
      </c>
      <c r="D49" s="35">
        <f t="shared" si="34"/>
        <v>54732.7</v>
      </c>
      <c r="E49" s="36"/>
      <c r="F49" s="36">
        <v>54732.7</v>
      </c>
      <c r="G49" s="36"/>
      <c r="H49" s="37"/>
      <c r="I49" s="35">
        <f t="shared" si="35"/>
        <v>6239.5</v>
      </c>
      <c r="J49" s="36"/>
      <c r="K49" s="36">
        <f>+F49-10511.2-37982</f>
        <v>6239.5</v>
      </c>
      <c r="L49" s="36"/>
      <c r="M49" s="37"/>
      <c r="N49" s="35">
        <f t="shared" si="33"/>
        <v>5133.87</v>
      </c>
      <c r="O49" s="36"/>
      <c r="P49" s="36">
        <v>5133.87</v>
      </c>
      <c r="Q49" s="36"/>
      <c r="R49" s="37"/>
      <c r="S49" s="29">
        <f t="shared" si="5"/>
        <v>0.82280150653097206</v>
      </c>
      <c r="T49" s="30" t="str">
        <f t="shared" si="6"/>
        <v xml:space="preserve"> </v>
      </c>
      <c r="U49" s="30">
        <f t="shared" si="7"/>
        <v>0.82280150653097206</v>
      </c>
      <c r="V49" s="30" t="str">
        <f t="shared" si="8"/>
        <v xml:space="preserve"> </v>
      </c>
      <c r="W49" s="30" t="str">
        <f t="shared" si="8"/>
        <v xml:space="preserve"> </v>
      </c>
    </row>
    <row r="50" spans="1:23" s="38" customFormat="1" ht="66" customHeight="1" x14ac:dyDescent="0.2">
      <c r="A50" s="72"/>
      <c r="B50" s="76"/>
      <c r="C50" s="4" t="s">
        <v>139</v>
      </c>
      <c r="D50" s="35">
        <f t="shared" si="34"/>
        <v>229277.2</v>
      </c>
      <c r="E50" s="36"/>
      <c r="F50" s="36">
        <v>229277.2</v>
      </c>
      <c r="G50" s="36"/>
      <c r="H50" s="37"/>
      <c r="I50" s="35">
        <f t="shared" si="35"/>
        <v>240793</v>
      </c>
      <c r="J50" s="36"/>
      <c r="K50" s="36">
        <f>+F50+12902.9-1387.1</f>
        <v>240793</v>
      </c>
      <c r="L50" s="36"/>
      <c r="M50" s="37"/>
      <c r="N50" s="35">
        <f t="shared" si="33"/>
        <v>240792.9</v>
      </c>
      <c r="O50" s="36"/>
      <c r="P50" s="36">
        <v>240792.9</v>
      </c>
      <c r="Q50" s="36"/>
      <c r="R50" s="37"/>
      <c r="S50" s="29">
        <f t="shared" si="5"/>
        <v>0.9999995847055354</v>
      </c>
      <c r="T50" s="30" t="str">
        <f t="shared" si="6"/>
        <v xml:space="preserve"> </v>
      </c>
      <c r="U50" s="30">
        <f t="shared" si="7"/>
        <v>0.9999995847055354</v>
      </c>
      <c r="V50" s="30" t="str">
        <f t="shared" si="8"/>
        <v xml:space="preserve"> </v>
      </c>
      <c r="W50" s="30" t="str">
        <f t="shared" si="8"/>
        <v xml:space="preserve"> </v>
      </c>
    </row>
    <row r="51" spans="1:23" s="38" customFormat="1" ht="74.25" customHeight="1" x14ac:dyDescent="0.2">
      <c r="A51" s="72"/>
      <c r="B51" s="76"/>
      <c r="C51" s="4" t="s">
        <v>140</v>
      </c>
      <c r="D51" s="35">
        <f t="shared" si="34"/>
        <v>48257.3</v>
      </c>
      <c r="E51" s="36"/>
      <c r="F51" s="36">
        <v>48257.3</v>
      </c>
      <c r="G51" s="36"/>
      <c r="H51" s="37"/>
      <c r="I51" s="35">
        <f t="shared" si="35"/>
        <v>0</v>
      </c>
      <c r="J51" s="36"/>
      <c r="K51" s="36">
        <f>+F51+21113.7-69371</f>
        <v>0</v>
      </c>
      <c r="L51" s="36"/>
      <c r="M51" s="37"/>
      <c r="N51" s="35">
        <f t="shared" si="33"/>
        <v>0</v>
      </c>
      <c r="O51" s="36"/>
      <c r="P51" s="36">
        <v>0</v>
      </c>
      <c r="Q51" s="36"/>
      <c r="R51" s="37"/>
      <c r="S51" s="29" t="str">
        <f t="shared" si="5"/>
        <v xml:space="preserve"> </v>
      </c>
      <c r="T51" s="30" t="str">
        <f t="shared" si="6"/>
        <v xml:space="preserve"> </v>
      </c>
      <c r="U51" s="30" t="str">
        <f t="shared" si="7"/>
        <v xml:space="preserve"> </v>
      </c>
      <c r="V51" s="30" t="str">
        <f t="shared" si="8"/>
        <v xml:space="preserve"> </v>
      </c>
      <c r="W51" s="30" t="str">
        <f t="shared" si="8"/>
        <v xml:space="preserve"> </v>
      </c>
    </row>
    <row r="52" spans="1:23" s="38" customFormat="1" ht="64.5" customHeight="1" x14ac:dyDescent="0.2">
      <c r="A52" s="72"/>
      <c r="B52" s="76"/>
      <c r="C52" s="4" t="s">
        <v>254</v>
      </c>
      <c r="D52" s="35">
        <f t="shared" si="34"/>
        <v>0</v>
      </c>
      <c r="E52" s="36"/>
      <c r="F52" s="36"/>
      <c r="G52" s="36"/>
      <c r="H52" s="37"/>
      <c r="I52" s="35">
        <f t="shared" si="35"/>
        <v>198933.8</v>
      </c>
      <c r="J52" s="36">
        <v>198933.8</v>
      </c>
      <c r="K52" s="36"/>
      <c r="L52" s="36"/>
      <c r="M52" s="37"/>
      <c r="N52" s="35">
        <f t="shared" si="33"/>
        <v>195657.42</v>
      </c>
      <c r="O52" s="36">
        <v>195657.42</v>
      </c>
      <c r="P52" s="36"/>
      <c r="Q52" s="36"/>
      <c r="R52" s="37"/>
      <c r="S52" s="29">
        <f t="shared" si="5"/>
        <v>0.98353030002945718</v>
      </c>
      <c r="T52" s="30">
        <f t="shared" si="6"/>
        <v>0.98353030002945718</v>
      </c>
      <c r="U52" s="30" t="str">
        <f t="shared" si="7"/>
        <v xml:space="preserve"> </v>
      </c>
      <c r="V52" s="30" t="str">
        <f t="shared" si="8"/>
        <v xml:space="preserve"> </v>
      </c>
      <c r="W52" s="30" t="str">
        <f t="shared" si="8"/>
        <v xml:space="preserve"> </v>
      </c>
    </row>
    <row r="53" spans="1:23" s="38" customFormat="1" ht="61.5" customHeight="1" x14ac:dyDescent="0.2">
      <c r="A53" s="72">
        <v>1004</v>
      </c>
      <c r="B53" s="76">
        <v>31007</v>
      </c>
      <c r="C53" s="1" t="s">
        <v>40</v>
      </c>
      <c r="D53" s="5">
        <f>SUM(E53:H53)</f>
        <v>929828.9</v>
      </c>
      <c r="E53" s="6">
        <v>929828.9</v>
      </c>
      <c r="F53" s="6"/>
      <c r="G53" s="6"/>
      <c r="H53" s="7">
        <v>0</v>
      </c>
      <c r="I53" s="5">
        <f>SUM(J53:M53)</f>
        <v>825097.9</v>
      </c>
      <c r="J53" s="6">
        <f>+E53-92201-4400-8130</f>
        <v>825097.9</v>
      </c>
      <c r="K53" s="6"/>
      <c r="L53" s="6"/>
      <c r="M53" s="7">
        <v>0</v>
      </c>
      <c r="N53" s="5">
        <f>SUM(O53:R53)</f>
        <v>782467.34</v>
      </c>
      <c r="O53" s="6">
        <v>782467.34</v>
      </c>
      <c r="P53" s="6"/>
      <c r="Q53" s="6"/>
      <c r="R53" s="7">
        <v>0</v>
      </c>
      <c r="S53" s="26">
        <f t="shared" si="5"/>
        <v>0.9483327251226793</v>
      </c>
      <c r="T53" s="27">
        <f t="shared" si="6"/>
        <v>0.9483327251226793</v>
      </c>
      <c r="U53" s="27" t="str">
        <f t="shared" si="7"/>
        <v xml:space="preserve"> </v>
      </c>
      <c r="V53" s="27" t="str">
        <f t="shared" si="8"/>
        <v xml:space="preserve"> </v>
      </c>
      <c r="W53" s="27" t="str">
        <f t="shared" si="8"/>
        <v xml:space="preserve"> </v>
      </c>
    </row>
    <row r="54" spans="1:23" s="38" customFormat="1" ht="48.75" customHeight="1" x14ac:dyDescent="0.2">
      <c r="A54" s="72">
        <v>1004</v>
      </c>
      <c r="B54" s="76">
        <v>31009</v>
      </c>
      <c r="C54" s="1" t="s">
        <v>123</v>
      </c>
      <c r="D54" s="5">
        <f>SUM(E54:H54)</f>
        <v>492962.4</v>
      </c>
      <c r="E54" s="6"/>
      <c r="F54" s="6"/>
      <c r="G54" s="6">
        <v>492962.4</v>
      </c>
      <c r="H54" s="7"/>
      <c r="I54" s="5">
        <f>+J54+K54+L54+M54</f>
        <v>260565.10000000003</v>
      </c>
      <c r="J54" s="6"/>
      <c r="K54" s="6"/>
      <c r="L54" s="6">
        <f>+G54-99824.3-132573</f>
        <v>260565.10000000003</v>
      </c>
      <c r="M54" s="7"/>
      <c r="N54" s="5">
        <f>+O54+P54+Q54+R54</f>
        <v>246207</v>
      </c>
      <c r="O54" s="6"/>
      <c r="P54" s="6"/>
      <c r="Q54" s="6">
        <v>246207</v>
      </c>
      <c r="R54" s="7"/>
      <c r="S54" s="26">
        <f t="shared" si="5"/>
        <v>0.94489630422493254</v>
      </c>
      <c r="T54" s="27" t="str">
        <f t="shared" si="6"/>
        <v xml:space="preserve"> </v>
      </c>
      <c r="U54" s="27" t="str">
        <f t="shared" si="7"/>
        <v xml:space="preserve"> </v>
      </c>
      <c r="V54" s="27">
        <f t="shared" si="8"/>
        <v>0.94489630422493254</v>
      </c>
      <c r="W54" s="27" t="str">
        <f t="shared" si="8"/>
        <v xml:space="preserve"> </v>
      </c>
    </row>
    <row r="55" spans="1:23" s="38" customFormat="1" ht="42.75" customHeight="1" x14ac:dyDescent="0.2">
      <c r="A55" s="72">
        <v>1004</v>
      </c>
      <c r="B55" s="76">
        <v>31010</v>
      </c>
      <c r="C55" s="1" t="s">
        <v>41</v>
      </c>
      <c r="D55" s="5">
        <f t="shared" ref="D55" si="36">SUM(E55:H55)</f>
        <v>900000</v>
      </c>
      <c r="E55" s="6">
        <v>900000</v>
      </c>
      <c r="F55" s="6"/>
      <c r="G55" s="6"/>
      <c r="H55" s="7"/>
      <c r="I55" s="5">
        <f t="shared" ref="I55" si="37">SUM(J55:M55)</f>
        <v>0</v>
      </c>
      <c r="J55" s="6">
        <f>+E55-1000-700066.2-198933.8</f>
        <v>0</v>
      </c>
      <c r="K55" s="6"/>
      <c r="L55" s="6"/>
      <c r="M55" s="7"/>
      <c r="N55" s="5">
        <f t="shared" ref="N55" si="38">SUM(O55:R55)</f>
        <v>0</v>
      </c>
      <c r="O55" s="6">
        <v>0</v>
      </c>
      <c r="P55" s="6"/>
      <c r="Q55" s="6"/>
      <c r="R55" s="7"/>
      <c r="S55" s="26" t="str">
        <f t="shared" si="5"/>
        <v xml:space="preserve"> </v>
      </c>
      <c r="T55" s="27" t="str">
        <f t="shared" si="6"/>
        <v xml:space="preserve"> </v>
      </c>
      <c r="U55" s="27" t="str">
        <f t="shared" si="7"/>
        <v xml:space="preserve"> </v>
      </c>
      <c r="V55" s="27" t="str">
        <f t="shared" si="8"/>
        <v xml:space="preserve"> </v>
      </c>
      <c r="W55" s="27" t="str">
        <f t="shared" si="8"/>
        <v xml:space="preserve"> </v>
      </c>
    </row>
    <row r="56" spans="1:23" s="38" customFormat="1" ht="34.5" customHeight="1" x14ac:dyDescent="0.2">
      <c r="A56" s="72">
        <v>1004</v>
      </c>
      <c r="B56" s="76">
        <v>31011</v>
      </c>
      <c r="C56" s="1" t="s">
        <v>119</v>
      </c>
      <c r="D56" s="5">
        <f>SUM(E56:H56)</f>
        <v>49497.7</v>
      </c>
      <c r="E56" s="6">
        <f>SUM(E57:E60)</f>
        <v>0</v>
      </c>
      <c r="F56" s="6">
        <f>SUM(F57:F60)</f>
        <v>49497.7</v>
      </c>
      <c r="G56" s="6">
        <f t="shared" ref="G56:H56" si="39">SUM(G57:G60)</f>
        <v>0</v>
      </c>
      <c r="H56" s="7">
        <f t="shared" si="39"/>
        <v>0</v>
      </c>
      <c r="I56" s="5">
        <f>SUM(J56:M56)</f>
        <v>0</v>
      </c>
      <c r="J56" s="6">
        <f>SUM(J57:J60)</f>
        <v>0</v>
      </c>
      <c r="K56" s="6">
        <f t="shared" ref="K56:M56" si="40">SUM(K57:K60)</f>
        <v>0</v>
      </c>
      <c r="L56" s="6">
        <f t="shared" si="40"/>
        <v>0</v>
      </c>
      <c r="M56" s="7">
        <f t="shared" si="40"/>
        <v>0</v>
      </c>
      <c r="N56" s="5">
        <f>SUM(O56:R56)</f>
        <v>0</v>
      </c>
      <c r="O56" s="6">
        <f>SUM(O57:O60)</f>
        <v>0</v>
      </c>
      <c r="P56" s="6">
        <f t="shared" ref="P56:R56" si="41">SUM(P57:P60)</f>
        <v>0</v>
      </c>
      <c r="Q56" s="6">
        <f t="shared" si="41"/>
        <v>0</v>
      </c>
      <c r="R56" s="7">
        <f t="shared" si="41"/>
        <v>0</v>
      </c>
      <c r="S56" s="26" t="str">
        <f t="shared" si="5"/>
        <v xml:space="preserve"> </v>
      </c>
      <c r="T56" s="27" t="str">
        <f t="shared" si="6"/>
        <v xml:space="preserve"> </v>
      </c>
      <c r="U56" s="27" t="str">
        <f t="shared" si="7"/>
        <v xml:space="preserve"> </v>
      </c>
      <c r="V56" s="27" t="str">
        <f t="shared" si="8"/>
        <v xml:space="preserve"> </v>
      </c>
      <c r="W56" s="27" t="str">
        <f t="shared" si="8"/>
        <v xml:space="preserve"> </v>
      </c>
    </row>
    <row r="57" spans="1:23" s="38" customFormat="1" ht="60.75" customHeight="1" x14ac:dyDescent="0.2">
      <c r="A57" s="72"/>
      <c r="B57" s="76"/>
      <c r="C57" s="4" t="s">
        <v>529</v>
      </c>
      <c r="D57" s="35">
        <f t="shared" ref="D57:D60" si="42">SUM(E57:H57)</f>
        <v>11081.3</v>
      </c>
      <c r="E57" s="36"/>
      <c r="F57" s="36">
        <v>11081.3</v>
      </c>
      <c r="G57" s="36"/>
      <c r="H57" s="37"/>
      <c r="I57" s="35">
        <f t="shared" ref="I57:I60" si="43">SUM(J57:M57)</f>
        <v>0</v>
      </c>
      <c r="J57" s="36"/>
      <c r="K57" s="36">
        <f>+F57-11081.3</f>
        <v>0</v>
      </c>
      <c r="L57" s="36"/>
      <c r="M57" s="37"/>
      <c r="N57" s="35">
        <f t="shared" ref="N57:N60" si="44">SUM(O57:R57)</f>
        <v>0</v>
      </c>
      <c r="O57" s="36"/>
      <c r="P57" s="36"/>
      <c r="Q57" s="36"/>
      <c r="R57" s="37"/>
      <c r="S57" s="29" t="str">
        <f t="shared" si="5"/>
        <v xml:space="preserve"> </v>
      </c>
      <c r="T57" s="30" t="str">
        <f t="shared" si="6"/>
        <v xml:space="preserve"> </v>
      </c>
      <c r="U57" s="30" t="str">
        <f t="shared" si="7"/>
        <v xml:space="preserve"> </v>
      </c>
      <c r="V57" s="30" t="str">
        <f t="shared" si="8"/>
        <v xml:space="preserve"> </v>
      </c>
      <c r="W57" s="30" t="str">
        <f t="shared" si="8"/>
        <v xml:space="preserve"> </v>
      </c>
    </row>
    <row r="58" spans="1:23" s="38" customFormat="1" ht="54.75" customHeight="1" x14ac:dyDescent="0.2">
      <c r="A58" s="72"/>
      <c r="B58" s="76"/>
      <c r="C58" s="4" t="s">
        <v>142</v>
      </c>
      <c r="D58" s="35">
        <f t="shared" si="42"/>
        <v>17113.3</v>
      </c>
      <c r="E58" s="36"/>
      <c r="F58" s="36">
        <v>17113.3</v>
      </c>
      <c r="G58" s="36"/>
      <c r="H58" s="37"/>
      <c r="I58" s="35">
        <f t="shared" si="43"/>
        <v>0</v>
      </c>
      <c r="J58" s="36"/>
      <c r="K58" s="36">
        <f>+F58-17113.3</f>
        <v>0</v>
      </c>
      <c r="L58" s="36"/>
      <c r="M58" s="37"/>
      <c r="N58" s="35">
        <f t="shared" si="44"/>
        <v>0</v>
      </c>
      <c r="O58" s="36"/>
      <c r="P58" s="36"/>
      <c r="Q58" s="36"/>
      <c r="R58" s="37"/>
      <c r="S58" s="29" t="str">
        <f t="shared" si="5"/>
        <v xml:space="preserve"> </v>
      </c>
      <c r="T58" s="30" t="str">
        <f t="shared" si="6"/>
        <v xml:space="preserve"> </v>
      </c>
      <c r="U58" s="30" t="str">
        <f t="shared" si="7"/>
        <v xml:space="preserve"> </v>
      </c>
      <c r="V58" s="30" t="str">
        <f t="shared" si="8"/>
        <v xml:space="preserve"> </v>
      </c>
      <c r="W58" s="30" t="str">
        <f t="shared" si="8"/>
        <v xml:space="preserve"> </v>
      </c>
    </row>
    <row r="59" spans="1:23" s="38" customFormat="1" ht="57" customHeight="1" x14ac:dyDescent="0.2">
      <c r="A59" s="72"/>
      <c r="B59" s="76"/>
      <c r="C59" s="4" t="s">
        <v>530</v>
      </c>
      <c r="D59" s="35">
        <f t="shared" si="42"/>
        <v>10510.5</v>
      </c>
      <c r="E59" s="36"/>
      <c r="F59" s="36">
        <v>10510.5</v>
      </c>
      <c r="G59" s="36"/>
      <c r="H59" s="37"/>
      <c r="I59" s="35">
        <f t="shared" si="43"/>
        <v>0</v>
      </c>
      <c r="J59" s="36"/>
      <c r="K59" s="36">
        <f>+F59-10510.5</f>
        <v>0</v>
      </c>
      <c r="L59" s="36"/>
      <c r="M59" s="37"/>
      <c r="N59" s="35">
        <f t="shared" si="44"/>
        <v>0</v>
      </c>
      <c r="O59" s="36"/>
      <c r="P59" s="36"/>
      <c r="Q59" s="36"/>
      <c r="R59" s="37"/>
      <c r="S59" s="29" t="str">
        <f t="shared" si="5"/>
        <v xml:space="preserve"> </v>
      </c>
      <c r="T59" s="30" t="str">
        <f t="shared" si="6"/>
        <v xml:space="preserve"> </v>
      </c>
      <c r="U59" s="30" t="str">
        <f t="shared" si="7"/>
        <v xml:space="preserve"> </v>
      </c>
      <c r="V59" s="30" t="str">
        <f t="shared" si="8"/>
        <v xml:space="preserve"> </v>
      </c>
      <c r="W59" s="30" t="str">
        <f t="shared" si="8"/>
        <v xml:space="preserve"> </v>
      </c>
    </row>
    <row r="60" spans="1:23" s="38" customFormat="1" ht="50.25" customHeight="1" x14ac:dyDescent="0.2">
      <c r="A60" s="72"/>
      <c r="B60" s="76"/>
      <c r="C60" s="4" t="s">
        <v>143</v>
      </c>
      <c r="D60" s="35">
        <f t="shared" si="42"/>
        <v>10792.6</v>
      </c>
      <c r="E60" s="36"/>
      <c r="F60" s="36">
        <v>10792.6</v>
      </c>
      <c r="G60" s="36"/>
      <c r="H60" s="37"/>
      <c r="I60" s="35">
        <f t="shared" si="43"/>
        <v>0</v>
      </c>
      <c r="J60" s="36"/>
      <c r="K60" s="36">
        <f>+F60-10792.6</f>
        <v>0</v>
      </c>
      <c r="L60" s="36"/>
      <c r="M60" s="37"/>
      <c r="N60" s="35">
        <f t="shared" si="44"/>
        <v>0</v>
      </c>
      <c r="O60" s="36"/>
      <c r="P60" s="36"/>
      <c r="Q60" s="36"/>
      <c r="R60" s="37"/>
      <c r="S60" s="29" t="str">
        <f t="shared" si="5"/>
        <v xml:space="preserve"> </v>
      </c>
      <c r="T60" s="30" t="str">
        <f t="shared" si="6"/>
        <v xml:space="preserve"> </v>
      </c>
      <c r="U60" s="30" t="str">
        <f t="shared" si="7"/>
        <v xml:space="preserve"> </v>
      </c>
      <c r="V60" s="30" t="str">
        <f t="shared" si="8"/>
        <v xml:space="preserve"> </v>
      </c>
      <c r="W60" s="30" t="str">
        <f t="shared" si="8"/>
        <v xml:space="preserve"> </v>
      </c>
    </row>
    <row r="61" spans="1:23" s="38" customFormat="1" ht="60.75" customHeight="1" x14ac:dyDescent="0.2">
      <c r="A61" s="72">
        <v>1004</v>
      </c>
      <c r="B61" s="76">
        <v>31012</v>
      </c>
      <c r="C61" s="1" t="s">
        <v>120</v>
      </c>
      <c r="D61" s="5">
        <f>SUM(E61:H61)</f>
        <v>923499.7</v>
      </c>
      <c r="E61" s="6">
        <f>SUM(E62:E72)</f>
        <v>0</v>
      </c>
      <c r="F61" s="6">
        <f>SUM(F62:F72)</f>
        <v>923499.7</v>
      </c>
      <c r="G61" s="6">
        <f t="shared" ref="G61:H61" si="45">SUM(G62:G72)</f>
        <v>0</v>
      </c>
      <c r="H61" s="7">
        <f t="shared" si="45"/>
        <v>0</v>
      </c>
      <c r="I61" s="5">
        <f>SUM(J61:M61)</f>
        <v>816742.2</v>
      </c>
      <c r="J61" s="6">
        <f>SUM(J62:J72)</f>
        <v>0</v>
      </c>
      <c r="K61" s="6">
        <f t="shared" ref="K61:M61" si="46">SUM(K62:K72)</f>
        <v>796762.2</v>
      </c>
      <c r="L61" s="6">
        <f t="shared" si="46"/>
        <v>19980</v>
      </c>
      <c r="M61" s="7">
        <f t="shared" si="46"/>
        <v>0</v>
      </c>
      <c r="N61" s="5">
        <f>SUM(O61:R61)</f>
        <v>792915.35999999987</v>
      </c>
      <c r="O61" s="6">
        <f>SUM(O62:O71)</f>
        <v>0</v>
      </c>
      <c r="P61" s="6">
        <f t="shared" ref="P61:R61" si="47">SUM(P62:P71)</f>
        <v>792915.35999999987</v>
      </c>
      <c r="Q61" s="6">
        <f t="shared" si="47"/>
        <v>0</v>
      </c>
      <c r="R61" s="7">
        <f t="shared" si="47"/>
        <v>0</v>
      </c>
      <c r="S61" s="26">
        <f t="shared" si="5"/>
        <v>0.97082697575807875</v>
      </c>
      <c r="T61" s="27" t="str">
        <f t="shared" si="6"/>
        <v xml:space="preserve"> </v>
      </c>
      <c r="U61" s="27">
        <f t="shared" si="7"/>
        <v>0.99517190951076739</v>
      </c>
      <c r="V61" s="27">
        <f t="shared" si="8"/>
        <v>0</v>
      </c>
      <c r="W61" s="27" t="str">
        <f t="shared" si="8"/>
        <v xml:space="preserve"> </v>
      </c>
    </row>
    <row r="62" spans="1:23" s="38" customFormat="1" ht="58.5" customHeight="1" x14ac:dyDescent="0.2">
      <c r="A62" s="72"/>
      <c r="B62" s="76"/>
      <c r="C62" s="4" t="s">
        <v>144</v>
      </c>
      <c r="D62" s="35">
        <f t="shared" ref="D62:D72" si="48">SUM(E62:H62)</f>
        <v>102454.3</v>
      </c>
      <c r="E62" s="36"/>
      <c r="F62" s="36">
        <v>102454.3</v>
      </c>
      <c r="G62" s="36"/>
      <c r="H62" s="37"/>
      <c r="I62" s="35">
        <f>SUM(J62:M62)</f>
        <v>98981</v>
      </c>
      <c r="J62" s="36"/>
      <c r="K62" s="36">
        <f>102454.3-2686.6-786.7</f>
        <v>98981</v>
      </c>
      <c r="L62" s="36"/>
      <c r="M62" s="37"/>
      <c r="N62" s="35">
        <f t="shared" ref="N62:N71" si="49">SUM(O62:R62)</f>
        <v>98980.99</v>
      </c>
      <c r="O62" s="36"/>
      <c r="P62" s="36">
        <v>98980.99</v>
      </c>
      <c r="Q62" s="36"/>
      <c r="R62" s="37"/>
      <c r="S62" s="29">
        <f t="shared" si="5"/>
        <v>0.99999989897050956</v>
      </c>
      <c r="T62" s="30" t="str">
        <f t="shared" si="6"/>
        <v xml:space="preserve"> </v>
      </c>
      <c r="U62" s="30">
        <f t="shared" si="7"/>
        <v>0.99999989897050956</v>
      </c>
      <c r="V62" s="30" t="str">
        <f t="shared" si="8"/>
        <v xml:space="preserve"> </v>
      </c>
      <c r="W62" s="30" t="str">
        <f t="shared" si="8"/>
        <v xml:space="preserve"> </v>
      </c>
    </row>
    <row r="63" spans="1:23" s="38" customFormat="1" ht="50.25" customHeight="1" x14ac:dyDescent="0.2">
      <c r="A63" s="72"/>
      <c r="B63" s="76"/>
      <c r="C63" s="4" t="s">
        <v>145</v>
      </c>
      <c r="D63" s="35">
        <f t="shared" si="48"/>
        <v>68893.600000000006</v>
      </c>
      <c r="E63" s="36"/>
      <c r="F63" s="36">
        <v>68893.600000000006</v>
      </c>
      <c r="G63" s="36"/>
      <c r="H63" s="37"/>
      <c r="I63" s="35">
        <f t="shared" ref="I63:I72" si="50">SUM(J63:M63)</f>
        <v>51869.700000000004</v>
      </c>
      <c r="J63" s="36"/>
      <c r="K63" s="36">
        <f>+F63-16410.5-613.4</f>
        <v>51869.700000000004</v>
      </c>
      <c r="L63" s="36"/>
      <c r="M63" s="37"/>
      <c r="N63" s="35">
        <f t="shared" si="49"/>
        <v>51869.64</v>
      </c>
      <c r="O63" s="36"/>
      <c r="P63" s="36">
        <v>51869.64</v>
      </c>
      <c r="Q63" s="36"/>
      <c r="R63" s="37"/>
      <c r="S63" s="29">
        <f t="shared" si="5"/>
        <v>0.99999884325531085</v>
      </c>
      <c r="T63" s="30" t="str">
        <f t="shared" si="6"/>
        <v xml:space="preserve"> </v>
      </c>
      <c r="U63" s="30">
        <f t="shared" si="7"/>
        <v>0.99999884325531085</v>
      </c>
      <c r="V63" s="30" t="str">
        <f t="shared" si="8"/>
        <v xml:space="preserve"> </v>
      </c>
      <c r="W63" s="30" t="str">
        <f t="shared" si="8"/>
        <v xml:space="preserve"> </v>
      </c>
    </row>
    <row r="64" spans="1:23" s="38" customFormat="1" ht="60" customHeight="1" x14ac:dyDescent="0.2">
      <c r="A64" s="72"/>
      <c r="B64" s="76"/>
      <c r="C64" s="4" t="s">
        <v>146</v>
      </c>
      <c r="D64" s="35">
        <f t="shared" si="48"/>
        <v>11565.4</v>
      </c>
      <c r="E64" s="36"/>
      <c r="F64" s="36">
        <v>11565.4</v>
      </c>
      <c r="G64" s="36"/>
      <c r="H64" s="37"/>
      <c r="I64" s="35">
        <f t="shared" si="50"/>
        <v>9755.3000000000011</v>
      </c>
      <c r="J64" s="36"/>
      <c r="K64" s="36">
        <f>+F64-1694.3-115.8</f>
        <v>9755.3000000000011</v>
      </c>
      <c r="L64" s="36"/>
      <c r="M64" s="37"/>
      <c r="N64" s="35">
        <f t="shared" si="49"/>
        <v>9755.27</v>
      </c>
      <c r="O64" s="36"/>
      <c r="P64" s="36">
        <v>9755.27</v>
      </c>
      <c r="Q64" s="36"/>
      <c r="R64" s="37"/>
      <c r="S64" s="29">
        <f t="shared" si="5"/>
        <v>0.99999692474859814</v>
      </c>
      <c r="T64" s="30" t="str">
        <f t="shared" si="6"/>
        <v xml:space="preserve"> </v>
      </c>
      <c r="U64" s="30">
        <f t="shared" si="7"/>
        <v>0.99999692474859814</v>
      </c>
      <c r="V64" s="30" t="str">
        <f t="shared" si="8"/>
        <v xml:space="preserve"> </v>
      </c>
      <c r="W64" s="30" t="str">
        <f t="shared" si="8"/>
        <v xml:space="preserve"> </v>
      </c>
    </row>
    <row r="65" spans="1:23" s="38" customFormat="1" ht="58.5" customHeight="1" x14ac:dyDescent="0.2">
      <c r="A65" s="72"/>
      <c r="B65" s="76"/>
      <c r="C65" s="4" t="s">
        <v>147</v>
      </c>
      <c r="D65" s="35">
        <f t="shared" si="48"/>
        <v>93028.800000000003</v>
      </c>
      <c r="E65" s="36"/>
      <c r="F65" s="36">
        <v>93028.800000000003</v>
      </c>
      <c r="G65" s="36"/>
      <c r="H65" s="37"/>
      <c r="I65" s="35">
        <f t="shared" si="50"/>
        <v>83707.5</v>
      </c>
      <c r="J65" s="36"/>
      <c r="K65" s="36">
        <f>+F65-9321.3</f>
        <v>83707.5</v>
      </c>
      <c r="L65" s="36"/>
      <c r="M65" s="37"/>
      <c r="N65" s="35">
        <f t="shared" si="49"/>
        <v>83704.56</v>
      </c>
      <c r="O65" s="36"/>
      <c r="P65" s="36">
        <v>83704.56</v>
      </c>
      <c r="Q65" s="36"/>
      <c r="R65" s="37"/>
      <c r="S65" s="29">
        <f t="shared" si="5"/>
        <v>0.99996487769913089</v>
      </c>
      <c r="T65" s="30" t="str">
        <f t="shared" si="6"/>
        <v xml:space="preserve"> </v>
      </c>
      <c r="U65" s="30">
        <f t="shared" si="7"/>
        <v>0.99996487769913089</v>
      </c>
      <c r="V65" s="30" t="str">
        <f t="shared" si="8"/>
        <v xml:space="preserve"> </v>
      </c>
      <c r="W65" s="30" t="str">
        <f t="shared" si="8"/>
        <v xml:space="preserve"> </v>
      </c>
    </row>
    <row r="66" spans="1:23" s="38" customFormat="1" ht="89.25" customHeight="1" x14ac:dyDescent="0.2">
      <c r="A66" s="72"/>
      <c r="B66" s="76"/>
      <c r="C66" s="4" t="s">
        <v>148</v>
      </c>
      <c r="D66" s="35">
        <f t="shared" si="48"/>
        <v>73184.899999999994</v>
      </c>
      <c r="E66" s="36"/>
      <c r="F66" s="36">
        <v>73184.899999999994</v>
      </c>
      <c r="G66" s="36"/>
      <c r="H66" s="37"/>
      <c r="I66" s="35">
        <f t="shared" si="50"/>
        <v>31959</v>
      </c>
      <c r="J66" s="36"/>
      <c r="K66" s="36">
        <f>+F66-809.4-689-39727.5</f>
        <v>31959</v>
      </c>
      <c r="L66" s="36"/>
      <c r="M66" s="37"/>
      <c r="N66" s="35">
        <f t="shared" si="49"/>
        <v>31334.57</v>
      </c>
      <c r="O66" s="36"/>
      <c r="P66" s="36">
        <v>31334.57</v>
      </c>
      <c r="Q66" s="36"/>
      <c r="R66" s="37"/>
      <c r="S66" s="29">
        <f t="shared" si="5"/>
        <v>0.98046152883381832</v>
      </c>
      <c r="T66" s="30" t="str">
        <f t="shared" si="6"/>
        <v xml:space="preserve"> </v>
      </c>
      <c r="U66" s="30">
        <f t="shared" si="7"/>
        <v>0.98046152883381832</v>
      </c>
      <c r="V66" s="30" t="str">
        <f t="shared" si="8"/>
        <v xml:space="preserve"> </v>
      </c>
      <c r="W66" s="30" t="str">
        <f t="shared" si="8"/>
        <v xml:space="preserve"> </v>
      </c>
    </row>
    <row r="67" spans="1:23" s="38" customFormat="1" ht="45.75" customHeight="1" x14ac:dyDescent="0.2">
      <c r="A67" s="72"/>
      <c r="B67" s="76"/>
      <c r="C67" s="4" t="s">
        <v>149</v>
      </c>
      <c r="D67" s="35">
        <f t="shared" si="48"/>
        <v>88586.7</v>
      </c>
      <c r="E67" s="36"/>
      <c r="F67" s="36">
        <v>88586.7</v>
      </c>
      <c r="G67" s="36"/>
      <c r="H67" s="37"/>
      <c r="I67" s="35">
        <f t="shared" si="50"/>
        <v>40729.799999999996</v>
      </c>
      <c r="J67" s="36"/>
      <c r="K67" s="36">
        <f>+F67-47856.9</f>
        <v>40729.799999999996</v>
      </c>
      <c r="L67" s="36"/>
      <c r="M67" s="37"/>
      <c r="N67" s="35">
        <f t="shared" si="49"/>
        <v>40679.54</v>
      </c>
      <c r="O67" s="36"/>
      <c r="P67" s="36">
        <v>40679.54</v>
      </c>
      <c r="Q67" s="36"/>
      <c r="R67" s="37"/>
      <c r="S67" s="29">
        <f t="shared" si="5"/>
        <v>0.99876601407323395</v>
      </c>
      <c r="T67" s="30" t="str">
        <f t="shared" si="6"/>
        <v xml:space="preserve"> </v>
      </c>
      <c r="U67" s="30">
        <f t="shared" si="7"/>
        <v>0.99876601407323395</v>
      </c>
      <c r="V67" s="30" t="str">
        <f t="shared" si="8"/>
        <v xml:space="preserve"> </v>
      </c>
      <c r="W67" s="30" t="str">
        <f t="shared" si="8"/>
        <v xml:space="preserve"> </v>
      </c>
    </row>
    <row r="68" spans="1:23" s="38" customFormat="1" ht="57.75" customHeight="1" x14ac:dyDescent="0.2">
      <c r="A68" s="72"/>
      <c r="B68" s="76"/>
      <c r="C68" s="4" t="s">
        <v>150</v>
      </c>
      <c r="D68" s="35">
        <f t="shared" si="48"/>
        <v>27214.799999999999</v>
      </c>
      <c r="E68" s="36"/>
      <c r="F68" s="36">
        <v>27214.799999999999</v>
      </c>
      <c r="G68" s="36"/>
      <c r="H68" s="37"/>
      <c r="I68" s="35">
        <f t="shared" si="50"/>
        <v>26459</v>
      </c>
      <c r="J68" s="36"/>
      <c r="K68" s="36">
        <f>+F68-755.8</f>
        <v>26459</v>
      </c>
      <c r="L68" s="36"/>
      <c r="M68" s="37"/>
      <c r="N68" s="35">
        <f t="shared" si="49"/>
        <v>26458.94</v>
      </c>
      <c r="O68" s="36"/>
      <c r="P68" s="36">
        <v>26458.94</v>
      </c>
      <c r="Q68" s="36"/>
      <c r="R68" s="37"/>
      <c r="S68" s="29">
        <f t="shared" si="5"/>
        <v>0.99999773234060241</v>
      </c>
      <c r="T68" s="30" t="str">
        <f t="shared" si="6"/>
        <v xml:space="preserve"> </v>
      </c>
      <c r="U68" s="30">
        <f t="shared" si="7"/>
        <v>0.99999773234060241</v>
      </c>
      <c r="V68" s="30" t="str">
        <f t="shared" si="8"/>
        <v xml:space="preserve"> </v>
      </c>
      <c r="W68" s="30" t="str">
        <f t="shared" si="8"/>
        <v xml:space="preserve"> </v>
      </c>
    </row>
    <row r="69" spans="1:23" s="38" customFormat="1" ht="70.5" customHeight="1" x14ac:dyDescent="0.2">
      <c r="A69" s="72"/>
      <c r="B69" s="76"/>
      <c r="C69" s="4" t="s">
        <v>151</v>
      </c>
      <c r="D69" s="35">
        <f t="shared" si="48"/>
        <v>271095.7</v>
      </c>
      <c r="E69" s="36"/>
      <c r="F69" s="36">
        <v>271095.7</v>
      </c>
      <c r="G69" s="36"/>
      <c r="H69" s="37"/>
      <c r="I69" s="35">
        <f t="shared" si="50"/>
        <v>268584.2</v>
      </c>
      <c r="J69" s="36"/>
      <c r="K69" s="36">
        <f>+F69-2511.5</f>
        <v>268584.2</v>
      </c>
      <c r="L69" s="36"/>
      <c r="M69" s="37"/>
      <c r="N69" s="35">
        <f t="shared" si="49"/>
        <v>267043.14</v>
      </c>
      <c r="O69" s="36"/>
      <c r="P69" s="36">
        <v>267043.14</v>
      </c>
      <c r="Q69" s="36"/>
      <c r="R69" s="37"/>
      <c r="S69" s="29">
        <f t="shared" si="5"/>
        <v>0.99426228348502999</v>
      </c>
      <c r="T69" s="30" t="str">
        <f t="shared" si="6"/>
        <v xml:space="preserve"> </v>
      </c>
      <c r="U69" s="30">
        <f t="shared" si="7"/>
        <v>0.99426228348502999</v>
      </c>
      <c r="V69" s="30" t="str">
        <f t="shared" si="8"/>
        <v xml:space="preserve"> </v>
      </c>
      <c r="W69" s="30" t="str">
        <f t="shared" si="8"/>
        <v xml:space="preserve"> </v>
      </c>
    </row>
    <row r="70" spans="1:23" s="38" customFormat="1" ht="62.25" customHeight="1" x14ac:dyDescent="0.2">
      <c r="A70" s="72"/>
      <c r="B70" s="76"/>
      <c r="C70" s="4" t="s">
        <v>152</v>
      </c>
      <c r="D70" s="35">
        <f>SUM(E70:H70)</f>
        <v>70850.399999999994</v>
      </c>
      <c r="E70" s="36"/>
      <c r="F70" s="36">
        <v>70850.399999999994</v>
      </c>
      <c r="G70" s="36"/>
      <c r="H70" s="37"/>
      <c r="I70" s="35">
        <f t="shared" si="50"/>
        <v>69490.2</v>
      </c>
      <c r="J70" s="36"/>
      <c r="K70" s="36">
        <f>+F70-664.8-695.4</f>
        <v>69490.2</v>
      </c>
      <c r="L70" s="36"/>
      <c r="M70" s="37"/>
      <c r="N70" s="35">
        <f t="shared" si="49"/>
        <v>69490.13</v>
      </c>
      <c r="O70" s="36"/>
      <c r="P70" s="36">
        <v>69490.13</v>
      </c>
      <c r="Q70" s="36"/>
      <c r="R70" s="37"/>
      <c r="S70" s="29">
        <f t="shared" si="5"/>
        <v>0.99999899266371384</v>
      </c>
      <c r="T70" s="30" t="str">
        <f t="shared" si="6"/>
        <v xml:space="preserve"> </v>
      </c>
      <c r="U70" s="30">
        <f t="shared" si="7"/>
        <v>0.99999899266371384</v>
      </c>
      <c r="V70" s="30" t="str">
        <f t="shared" si="8"/>
        <v xml:space="preserve"> </v>
      </c>
      <c r="W70" s="30" t="str">
        <f t="shared" si="8"/>
        <v xml:space="preserve"> </v>
      </c>
    </row>
    <row r="71" spans="1:23" s="38" customFormat="1" ht="61.5" customHeight="1" x14ac:dyDescent="0.2">
      <c r="A71" s="72"/>
      <c r="B71" s="76"/>
      <c r="C71" s="4" t="s">
        <v>153</v>
      </c>
      <c r="D71" s="35">
        <f t="shared" si="48"/>
        <v>116625.1</v>
      </c>
      <c r="E71" s="36"/>
      <c r="F71" s="36">
        <v>116625.1</v>
      </c>
      <c r="G71" s="36"/>
      <c r="H71" s="37"/>
      <c r="I71" s="35">
        <f t="shared" si="50"/>
        <v>115226.50000000001</v>
      </c>
      <c r="J71" s="36"/>
      <c r="K71" s="36">
        <f>+F71-114.4-1284.2</f>
        <v>115226.50000000001</v>
      </c>
      <c r="L71" s="36"/>
      <c r="M71" s="37"/>
      <c r="N71" s="35">
        <f t="shared" si="49"/>
        <v>113598.58</v>
      </c>
      <c r="O71" s="36"/>
      <c r="P71" s="36">
        <v>113598.58</v>
      </c>
      <c r="Q71" s="36"/>
      <c r="R71" s="37"/>
      <c r="S71" s="29">
        <f t="shared" si="5"/>
        <v>0.9858719999305714</v>
      </c>
      <c r="T71" s="30" t="str">
        <f t="shared" si="6"/>
        <v xml:space="preserve"> </v>
      </c>
      <c r="U71" s="30">
        <f t="shared" si="7"/>
        <v>0.9858719999305714</v>
      </c>
      <c r="V71" s="30" t="str">
        <f t="shared" si="8"/>
        <v xml:space="preserve"> </v>
      </c>
      <c r="W71" s="30" t="str">
        <f t="shared" si="8"/>
        <v xml:space="preserve"> </v>
      </c>
    </row>
    <row r="72" spans="1:23" s="38" customFormat="1" ht="209.25" customHeight="1" x14ac:dyDescent="0.2">
      <c r="A72" s="72"/>
      <c r="B72" s="76"/>
      <c r="C72" s="4" t="s">
        <v>255</v>
      </c>
      <c r="D72" s="35">
        <f t="shared" si="48"/>
        <v>0</v>
      </c>
      <c r="E72" s="36"/>
      <c r="F72" s="36"/>
      <c r="G72" s="36">
        <v>0</v>
      </c>
      <c r="H72" s="37"/>
      <c r="I72" s="35">
        <f t="shared" si="50"/>
        <v>19980</v>
      </c>
      <c r="J72" s="36"/>
      <c r="K72" s="36"/>
      <c r="L72" s="36">
        <f>22380-2400</f>
        <v>19980</v>
      </c>
      <c r="M72" s="37"/>
      <c r="N72" s="35"/>
      <c r="O72" s="36"/>
      <c r="P72" s="36"/>
      <c r="Q72" s="36">
        <v>0</v>
      </c>
      <c r="R72" s="37"/>
      <c r="S72" s="29">
        <f t="shared" si="5"/>
        <v>0</v>
      </c>
      <c r="T72" s="30" t="str">
        <f t="shared" si="6"/>
        <v xml:space="preserve"> </v>
      </c>
      <c r="U72" s="30" t="str">
        <f t="shared" si="7"/>
        <v xml:space="preserve"> </v>
      </c>
      <c r="V72" s="30">
        <f t="shared" si="8"/>
        <v>0</v>
      </c>
      <c r="W72" s="30" t="str">
        <f t="shared" si="8"/>
        <v xml:space="preserve"> </v>
      </c>
    </row>
    <row r="73" spans="1:23" s="38" customFormat="1" ht="36" customHeight="1" x14ac:dyDescent="0.2">
      <c r="A73" s="72">
        <v>1004</v>
      </c>
      <c r="B73" s="76">
        <v>31013</v>
      </c>
      <c r="C73" s="1" t="s">
        <v>121</v>
      </c>
      <c r="D73" s="5">
        <f>SUM(E73:H73)</f>
        <v>2000000</v>
      </c>
      <c r="E73" s="6"/>
      <c r="F73" s="6"/>
      <c r="G73" s="6">
        <v>2000000</v>
      </c>
      <c r="H73" s="7"/>
      <c r="I73" s="5">
        <f>SUM(J73:M73)</f>
        <v>0</v>
      </c>
      <c r="J73" s="6"/>
      <c r="K73" s="6"/>
      <c r="L73" s="6">
        <f>2000000-12961.8-22330-55500-1767944.5-141263.7</f>
        <v>0</v>
      </c>
      <c r="M73" s="7"/>
      <c r="N73" s="5">
        <f>SUM(O73:R73)</f>
        <v>0</v>
      </c>
      <c r="O73" s="6"/>
      <c r="P73" s="6"/>
      <c r="Q73" s="6">
        <v>0</v>
      </c>
      <c r="R73" s="7"/>
      <c r="S73" s="29" t="str">
        <f t="shared" si="5"/>
        <v xml:space="preserve"> </v>
      </c>
      <c r="T73" s="30" t="str">
        <f t="shared" si="6"/>
        <v xml:space="preserve"> </v>
      </c>
      <c r="U73" s="30" t="str">
        <f t="shared" si="7"/>
        <v xml:space="preserve"> </v>
      </c>
      <c r="V73" s="30" t="str">
        <f t="shared" si="8"/>
        <v xml:space="preserve"> </v>
      </c>
      <c r="W73" s="30" t="str">
        <f t="shared" si="8"/>
        <v xml:space="preserve"> </v>
      </c>
    </row>
    <row r="74" spans="1:23" s="38" customFormat="1" ht="46.5" customHeight="1" x14ac:dyDescent="0.2">
      <c r="A74" s="72">
        <v>1004</v>
      </c>
      <c r="B74" s="76">
        <v>31014</v>
      </c>
      <c r="C74" s="1" t="s">
        <v>122</v>
      </c>
      <c r="D74" s="5">
        <f>SUM(E74:H74)</f>
        <v>1276652</v>
      </c>
      <c r="E74" s="6">
        <f>SUM(E75:E80)</f>
        <v>0</v>
      </c>
      <c r="F74" s="6">
        <f>SUM(F75:F80)</f>
        <v>1246652</v>
      </c>
      <c r="G74" s="6">
        <f t="shared" ref="G74:H74" si="51">SUM(G75:G80)</f>
        <v>30000</v>
      </c>
      <c r="H74" s="7">
        <f t="shared" si="51"/>
        <v>0</v>
      </c>
      <c r="I74" s="5">
        <f>SUM(J74:M74)</f>
        <v>73595.999999999956</v>
      </c>
      <c r="J74" s="6">
        <f>SUM(J75:J80)</f>
        <v>0</v>
      </c>
      <c r="K74" s="6">
        <f>SUM(K75:K80)</f>
        <v>73595.999999999956</v>
      </c>
      <c r="L74" s="6">
        <f t="shared" ref="L74:M74" si="52">SUM(L75:L80)</f>
        <v>0</v>
      </c>
      <c r="M74" s="7">
        <f t="shared" si="52"/>
        <v>0</v>
      </c>
      <c r="N74" s="5">
        <f>SUM(O74:R74)</f>
        <v>68607.975999999995</v>
      </c>
      <c r="O74" s="6">
        <f>SUM(O75:O80)</f>
        <v>0</v>
      </c>
      <c r="P74" s="6">
        <f t="shared" ref="P74:R74" si="53">SUM(P75:P80)</f>
        <v>68607.975999999995</v>
      </c>
      <c r="Q74" s="6">
        <f t="shared" si="53"/>
        <v>0</v>
      </c>
      <c r="R74" s="7">
        <f t="shared" si="53"/>
        <v>0</v>
      </c>
      <c r="S74" s="26">
        <f t="shared" si="5"/>
        <v>0.9322242513180069</v>
      </c>
      <c r="T74" s="27" t="str">
        <f t="shared" si="6"/>
        <v xml:space="preserve"> </v>
      </c>
      <c r="U74" s="27">
        <f t="shared" si="7"/>
        <v>0.9322242513180069</v>
      </c>
      <c r="V74" s="27" t="str">
        <f t="shared" si="8"/>
        <v xml:space="preserve"> </v>
      </c>
      <c r="W74" s="27" t="str">
        <f t="shared" si="8"/>
        <v xml:space="preserve"> </v>
      </c>
    </row>
    <row r="75" spans="1:23" s="38" customFormat="1" ht="83.25" customHeight="1" x14ac:dyDescent="0.2">
      <c r="A75" s="72"/>
      <c r="B75" s="76"/>
      <c r="C75" s="4" t="s">
        <v>159</v>
      </c>
      <c r="D75" s="35">
        <f>SUM(E75:H75)</f>
        <v>30000</v>
      </c>
      <c r="E75" s="36"/>
      <c r="F75" s="36"/>
      <c r="G75" s="36">
        <v>30000</v>
      </c>
      <c r="H75" s="37"/>
      <c r="I75" s="35">
        <f t="shared" ref="I75:I83" si="54">SUM(J75:M75)</f>
        <v>0</v>
      </c>
      <c r="J75" s="36"/>
      <c r="K75" s="36"/>
      <c r="L75" s="36">
        <f>+G75-30000</f>
        <v>0</v>
      </c>
      <c r="M75" s="37"/>
      <c r="N75" s="35">
        <f t="shared" ref="N75:N82" si="55">SUM(O75:R75)</f>
        <v>0</v>
      </c>
      <c r="O75" s="36"/>
      <c r="P75" s="36"/>
      <c r="Q75" s="36">
        <v>0</v>
      </c>
      <c r="R75" s="37"/>
      <c r="S75" s="29" t="str">
        <f t="shared" ref="S75:S87" si="56">IF(I75=0," ",N75/I75)</f>
        <v xml:space="preserve"> </v>
      </c>
      <c r="T75" s="30" t="str">
        <f t="shared" ref="T75:T87" si="57">IF(J75=0," ",O75/J75)</f>
        <v xml:space="preserve"> </v>
      </c>
      <c r="U75" s="30" t="str">
        <f t="shared" ref="U75:U87" si="58">IF(K75=0," ",P75/K75)</f>
        <v xml:space="preserve"> </v>
      </c>
      <c r="V75" s="30" t="str">
        <f t="shared" ref="V75:W87" si="59">IF(L75=0," ",Q75/L75)</f>
        <v xml:space="preserve"> </v>
      </c>
      <c r="W75" s="30" t="str">
        <f t="shared" si="59"/>
        <v xml:space="preserve"> </v>
      </c>
    </row>
    <row r="76" spans="1:23" s="38" customFormat="1" ht="50.25" customHeight="1" x14ac:dyDescent="0.2">
      <c r="A76" s="72"/>
      <c r="B76" s="76"/>
      <c r="C76" s="4" t="s">
        <v>154</v>
      </c>
      <c r="D76" s="35">
        <f t="shared" ref="D76:D83" si="60">SUM(E76:H76)</f>
        <v>103327</v>
      </c>
      <c r="E76" s="36"/>
      <c r="F76" s="36">
        <v>103327</v>
      </c>
      <c r="G76" s="39"/>
      <c r="H76" s="37"/>
      <c r="I76" s="35">
        <f t="shared" si="54"/>
        <v>0</v>
      </c>
      <c r="J76" s="36"/>
      <c r="K76" s="36">
        <f>+F76-103327</f>
        <v>0</v>
      </c>
      <c r="L76" s="36"/>
      <c r="M76" s="37"/>
      <c r="N76" s="35">
        <f t="shared" si="55"/>
        <v>0</v>
      </c>
      <c r="O76" s="36"/>
      <c r="P76" s="36">
        <v>0</v>
      </c>
      <c r="Q76" s="36"/>
      <c r="R76" s="37"/>
      <c r="S76" s="29" t="str">
        <f t="shared" si="56"/>
        <v xml:space="preserve"> </v>
      </c>
      <c r="T76" s="30" t="str">
        <f t="shared" si="57"/>
        <v xml:space="preserve"> </v>
      </c>
      <c r="U76" s="30" t="str">
        <f t="shared" si="58"/>
        <v xml:space="preserve"> </v>
      </c>
      <c r="V76" s="30" t="str">
        <f t="shared" si="59"/>
        <v xml:space="preserve"> </v>
      </c>
      <c r="W76" s="30" t="str">
        <f t="shared" si="59"/>
        <v xml:space="preserve"> </v>
      </c>
    </row>
    <row r="77" spans="1:23" s="38" customFormat="1" ht="50.25" customHeight="1" x14ac:dyDescent="0.2">
      <c r="A77" s="72"/>
      <c r="B77" s="76"/>
      <c r="C77" s="4" t="s">
        <v>155</v>
      </c>
      <c r="D77" s="35">
        <f t="shared" si="60"/>
        <v>1000000</v>
      </c>
      <c r="E77" s="36"/>
      <c r="F77" s="36">
        <v>1000000</v>
      </c>
      <c r="G77" s="36"/>
      <c r="H77" s="37"/>
      <c r="I77" s="35">
        <f t="shared" si="54"/>
        <v>0.19999999995343387</v>
      </c>
      <c r="J77" s="36"/>
      <c r="K77" s="36">
        <f>1000000-79869-122617-67800-729713.8</f>
        <v>0.19999999995343387</v>
      </c>
      <c r="L77" s="36"/>
      <c r="M77" s="37"/>
      <c r="N77" s="35">
        <f t="shared" si="55"/>
        <v>0</v>
      </c>
      <c r="O77" s="36"/>
      <c r="P77" s="36">
        <v>0</v>
      </c>
      <c r="Q77" s="36"/>
      <c r="R77" s="37"/>
      <c r="S77" s="29">
        <f t="shared" si="56"/>
        <v>0</v>
      </c>
      <c r="T77" s="30" t="str">
        <f t="shared" si="57"/>
        <v xml:space="preserve"> </v>
      </c>
      <c r="U77" s="30">
        <f t="shared" si="58"/>
        <v>0</v>
      </c>
      <c r="V77" s="30" t="str">
        <f t="shared" si="59"/>
        <v xml:space="preserve"> </v>
      </c>
      <c r="W77" s="30" t="str">
        <f t="shared" si="59"/>
        <v xml:space="preserve"> </v>
      </c>
    </row>
    <row r="78" spans="1:23" s="38" customFormat="1" ht="50.25" customHeight="1" x14ac:dyDescent="0.2">
      <c r="A78" s="72"/>
      <c r="B78" s="76"/>
      <c r="C78" s="4" t="s">
        <v>156</v>
      </c>
      <c r="D78" s="35">
        <f t="shared" si="60"/>
        <v>42118</v>
      </c>
      <c r="E78" s="36"/>
      <c r="F78" s="36">
        <v>42118</v>
      </c>
      <c r="G78" s="36"/>
      <c r="H78" s="37"/>
      <c r="I78" s="35">
        <f t="shared" si="54"/>
        <v>41482.1</v>
      </c>
      <c r="J78" s="36"/>
      <c r="K78" s="36">
        <f>+F78-635.9</f>
        <v>41482.1</v>
      </c>
      <c r="L78" s="36"/>
      <c r="M78" s="37"/>
      <c r="N78" s="35">
        <f t="shared" si="55"/>
        <v>38956.065000000002</v>
      </c>
      <c r="O78" s="36"/>
      <c r="P78" s="36">
        <v>38956.065000000002</v>
      </c>
      <c r="Q78" s="36"/>
      <c r="R78" s="37"/>
      <c r="S78" s="29">
        <f t="shared" si="56"/>
        <v>0.93910542137452069</v>
      </c>
      <c r="T78" s="30" t="str">
        <f t="shared" si="57"/>
        <v xml:space="preserve"> </v>
      </c>
      <c r="U78" s="30">
        <f t="shared" si="58"/>
        <v>0.93910542137452069</v>
      </c>
      <c r="V78" s="30" t="str">
        <f t="shared" si="59"/>
        <v xml:space="preserve"> </v>
      </c>
      <c r="W78" s="30" t="str">
        <f t="shared" si="59"/>
        <v xml:space="preserve"> </v>
      </c>
    </row>
    <row r="79" spans="1:23" s="38" customFormat="1" ht="30" customHeight="1" x14ac:dyDescent="0.2">
      <c r="A79" s="72"/>
      <c r="B79" s="76"/>
      <c r="C79" s="4" t="s">
        <v>157</v>
      </c>
      <c r="D79" s="35">
        <f t="shared" si="60"/>
        <v>91977</v>
      </c>
      <c r="E79" s="36"/>
      <c r="F79" s="36">
        <v>91977</v>
      </c>
      <c r="G79" s="36"/>
      <c r="H79" s="37"/>
      <c r="I79" s="35">
        <f t="shared" si="54"/>
        <v>32113.600000000002</v>
      </c>
      <c r="J79" s="36"/>
      <c r="K79" s="36">
        <f>+F79-58641.6-1221.8</f>
        <v>32113.600000000002</v>
      </c>
      <c r="L79" s="36"/>
      <c r="M79" s="37"/>
      <c r="N79" s="35">
        <f t="shared" si="55"/>
        <v>29651.911</v>
      </c>
      <c r="O79" s="36"/>
      <c r="P79" s="36">
        <v>29651.911</v>
      </c>
      <c r="Q79" s="36"/>
      <c r="R79" s="37"/>
      <c r="S79" s="29">
        <f t="shared" si="56"/>
        <v>0.92334434632056195</v>
      </c>
      <c r="T79" s="30" t="str">
        <f t="shared" si="57"/>
        <v xml:space="preserve"> </v>
      </c>
      <c r="U79" s="30">
        <f t="shared" si="58"/>
        <v>0.92334434632056195</v>
      </c>
      <c r="V79" s="30" t="str">
        <f t="shared" si="59"/>
        <v xml:space="preserve"> </v>
      </c>
      <c r="W79" s="30" t="str">
        <f t="shared" si="59"/>
        <v xml:space="preserve"> </v>
      </c>
    </row>
    <row r="80" spans="1:23" s="38" customFormat="1" ht="75.75" customHeight="1" x14ac:dyDescent="0.2">
      <c r="A80" s="72"/>
      <c r="B80" s="76"/>
      <c r="C80" s="4" t="s">
        <v>158</v>
      </c>
      <c r="D80" s="35">
        <f t="shared" si="60"/>
        <v>9230</v>
      </c>
      <c r="E80" s="36"/>
      <c r="F80" s="36">
        <v>9230</v>
      </c>
      <c r="G80" s="36"/>
      <c r="H80" s="37"/>
      <c r="I80" s="35">
        <f t="shared" si="54"/>
        <v>0.1000000000003638</v>
      </c>
      <c r="J80" s="36"/>
      <c r="K80" s="36">
        <f>+F80-9229.9</f>
        <v>0.1000000000003638</v>
      </c>
      <c r="L80" s="36"/>
      <c r="M80" s="37"/>
      <c r="N80" s="35">
        <f t="shared" si="55"/>
        <v>0</v>
      </c>
      <c r="O80" s="36"/>
      <c r="P80" s="36"/>
      <c r="Q80" s="36"/>
      <c r="R80" s="37"/>
      <c r="S80" s="29">
        <f t="shared" si="56"/>
        <v>0</v>
      </c>
      <c r="T80" s="30" t="str">
        <f t="shared" si="57"/>
        <v xml:space="preserve"> </v>
      </c>
      <c r="U80" s="30">
        <f t="shared" si="58"/>
        <v>0</v>
      </c>
      <c r="V80" s="30" t="str">
        <f t="shared" si="59"/>
        <v xml:space="preserve"> </v>
      </c>
      <c r="W80" s="30" t="str">
        <f t="shared" si="59"/>
        <v xml:space="preserve"> </v>
      </c>
    </row>
    <row r="81" spans="1:23" s="38" customFormat="1" ht="30" customHeight="1" x14ac:dyDescent="0.2">
      <c r="A81" s="72">
        <v>1004</v>
      </c>
      <c r="B81" s="76">
        <v>31020</v>
      </c>
      <c r="C81" s="1" t="s">
        <v>256</v>
      </c>
      <c r="D81" s="5">
        <f t="shared" si="60"/>
        <v>0</v>
      </c>
      <c r="E81" s="6">
        <f>+E82</f>
        <v>0</v>
      </c>
      <c r="F81" s="6">
        <f t="shared" ref="F81:H81" si="61">+F82</f>
        <v>0</v>
      </c>
      <c r="G81" s="6">
        <f t="shared" si="61"/>
        <v>0</v>
      </c>
      <c r="H81" s="7">
        <f t="shared" si="61"/>
        <v>0</v>
      </c>
      <c r="I81" s="5">
        <f t="shared" si="54"/>
        <v>45436.600000000006</v>
      </c>
      <c r="J81" s="6">
        <f>+J82</f>
        <v>45436.600000000006</v>
      </c>
      <c r="K81" s="6">
        <f t="shared" ref="K81:M81" si="62">+K82</f>
        <v>0</v>
      </c>
      <c r="L81" s="6">
        <f t="shared" si="62"/>
        <v>0</v>
      </c>
      <c r="M81" s="7">
        <f t="shared" si="62"/>
        <v>0</v>
      </c>
      <c r="N81" s="5">
        <f t="shared" si="55"/>
        <v>43920</v>
      </c>
      <c r="O81" s="6">
        <f>+O82</f>
        <v>43920</v>
      </c>
      <c r="P81" s="6">
        <f t="shared" ref="P81:R81" si="63">+P82</f>
        <v>0</v>
      </c>
      <c r="Q81" s="6">
        <f t="shared" si="63"/>
        <v>0</v>
      </c>
      <c r="R81" s="7">
        <f t="shared" si="63"/>
        <v>0</v>
      </c>
      <c r="S81" s="26">
        <f t="shared" si="56"/>
        <v>0.96662162221645098</v>
      </c>
      <c r="T81" s="27">
        <f t="shared" si="57"/>
        <v>0.96662162221645098</v>
      </c>
      <c r="U81" s="27" t="str">
        <f t="shared" si="58"/>
        <v xml:space="preserve"> </v>
      </c>
      <c r="V81" s="27" t="str">
        <f t="shared" si="59"/>
        <v xml:space="preserve"> </v>
      </c>
      <c r="W81" s="27" t="str">
        <f t="shared" si="59"/>
        <v xml:space="preserve"> </v>
      </c>
    </row>
    <row r="82" spans="1:23" s="38" customFormat="1" ht="86.25" customHeight="1" x14ac:dyDescent="0.2">
      <c r="A82" s="72"/>
      <c r="B82" s="76"/>
      <c r="C82" s="4" t="s">
        <v>257</v>
      </c>
      <c r="D82" s="35">
        <f t="shared" si="60"/>
        <v>0</v>
      </c>
      <c r="E82" s="36"/>
      <c r="F82" s="36"/>
      <c r="G82" s="36"/>
      <c r="H82" s="37"/>
      <c r="I82" s="35">
        <f t="shared" si="54"/>
        <v>45436.600000000006</v>
      </c>
      <c r="J82" s="36">
        <f>122617-991.4-76189</f>
        <v>45436.600000000006</v>
      </c>
      <c r="K82" s="36"/>
      <c r="L82" s="36"/>
      <c r="M82" s="37"/>
      <c r="N82" s="35">
        <f t="shared" si="55"/>
        <v>43920</v>
      </c>
      <c r="O82" s="36">
        <v>43920</v>
      </c>
      <c r="P82" s="36"/>
      <c r="Q82" s="36"/>
      <c r="R82" s="37"/>
      <c r="S82" s="29">
        <f t="shared" si="56"/>
        <v>0.96662162221645098</v>
      </c>
      <c r="T82" s="30">
        <f t="shared" si="57"/>
        <v>0.96662162221645098</v>
      </c>
      <c r="U82" s="30" t="str">
        <f t="shared" si="58"/>
        <v xml:space="preserve"> </v>
      </c>
      <c r="V82" s="30" t="str">
        <f t="shared" si="59"/>
        <v xml:space="preserve"> </v>
      </c>
      <c r="W82" s="30" t="str">
        <f t="shared" si="59"/>
        <v xml:space="preserve"> </v>
      </c>
    </row>
    <row r="83" spans="1:23" s="38" customFormat="1" ht="50.25" customHeight="1" x14ac:dyDescent="0.2">
      <c r="A83" s="72">
        <v>1017</v>
      </c>
      <c r="B83" s="76">
        <v>21001</v>
      </c>
      <c r="C83" s="1" t="s">
        <v>124</v>
      </c>
      <c r="D83" s="5">
        <f t="shared" si="60"/>
        <v>1615126.5</v>
      </c>
      <c r="E83" s="6"/>
      <c r="F83" s="6">
        <v>1615126.5</v>
      </c>
      <c r="G83" s="6"/>
      <c r="H83" s="7"/>
      <c r="I83" s="5">
        <f t="shared" si="54"/>
        <v>1037710.1</v>
      </c>
      <c r="J83" s="6"/>
      <c r="K83" s="6">
        <f>1615126.5-105800-471616.4</f>
        <v>1037710.1</v>
      </c>
      <c r="L83" s="6"/>
      <c r="M83" s="7"/>
      <c r="N83" s="5">
        <f>+O83+P83+Q83+R83</f>
        <v>1037374.82</v>
      </c>
      <c r="O83" s="6"/>
      <c r="P83" s="6">
        <v>1037374.82</v>
      </c>
      <c r="Q83" s="6"/>
      <c r="R83" s="7"/>
      <c r="S83" s="26">
        <f t="shared" si="56"/>
        <v>0.9996769039831066</v>
      </c>
      <c r="T83" s="27" t="str">
        <f t="shared" si="57"/>
        <v xml:space="preserve"> </v>
      </c>
      <c r="U83" s="27">
        <f t="shared" si="58"/>
        <v>0.9996769039831066</v>
      </c>
      <c r="V83" s="27" t="str">
        <f t="shared" si="59"/>
        <v xml:space="preserve"> </v>
      </c>
      <c r="W83" s="27" t="str">
        <f t="shared" si="59"/>
        <v xml:space="preserve"> </v>
      </c>
    </row>
    <row r="84" spans="1:23" s="38" customFormat="1" ht="40.5" customHeight="1" x14ac:dyDescent="0.2">
      <c r="A84" s="72">
        <v>1017</v>
      </c>
      <c r="B84" s="76">
        <v>21002</v>
      </c>
      <c r="C84" s="1" t="s">
        <v>258</v>
      </c>
      <c r="D84" s="5">
        <f>SUM(E84:H84)</f>
        <v>0</v>
      </c>
      <c r="E84" s="6"/>
      <c r="F84" s="6">
        <v>0</v>
      </c>
      <c r="G84" s="6"/>
      <c r="H84" s="7"/>
      <c r="I84" s="5">
        <f>SUM(J84:M84)</f>
        <v>79869</v>
      </c>
      <c r="J84" s="6"/>
      <c r="K84" s="6">
        <v>79869</v>
      </c>
      <c r="L84" s="6"/>
      <c r="M84" s="7"/>
      <c r="N84" s="5">
        <f>SUM(O84:R84)</f>
        <v>77321.820000000007</v>
      </c>
      <c r="O84" s="6"/>
      <c r="P84" s="6">
        <v>77321.820000000007</v>
      </c>
      <c r="Q84" s="6"/>
      <c r="R84" s="7"/>
      <c r="S84" s="26">
        <f t="shared" si="56"/>
        <v>0.96810802689403908</v>
      </c>
      <c r="T84" s="27" t="str">
        <f t="shared" si="57"/>
        <v xml:space="preserve"> </v>
      </c>
      <c r="U84" s="27">
        <f t="shared" si="58"/>
        <v>0.96810802689403908</v>
      </c>
      <c r="V84" s="27" t="str">
        <f t="shared" si="59"/>
        <v xml:space="preserve"> </v>
      </c>
      <c r="W84" s="27" t="str">
        <f t="shared" si="59"/>
        <v xml:space="preserve"> </v>
      </c>
    </row>
    <row r="85" spans="1:23" s="38" customFormat="1" ht="43.5" customHeight="1" x14ac:dyDescent="0.2">
      <c r="A85" s="72">
        <v>1049</v>
      </c>
      <c r="B85" s="76">
        <v>21001</v>
      </c>
      <c r="C85" s="1" t="s">
        <v>19</v>
      </c>
      <c r="D85" s="5">
        <f>SUM(E85:H85)</f>
        <v>46000000</v>
      </c>
      <c r="E85" s="6">
        <f>E87+E88</f>
        <v>0</v>
      </c>
      <c r="F85" s="6">
        <f>F87+F88</f>
        <v>46000000</v>
      </c>
      <c r="G85" s="6">
        <f t="shared" ref="G85:H85" si="64">G87+G88</f>
        <v>0</v>
      </c>
      <c r="H85" s="7">
        <f t="shared" si="64"/>
        <v>0</v>
      </c>
      <c r="I85" s="5">
        <f>SUM(J85:M85)</f>
        <v>51351819.899999999</v>
      </c>
      <c r="J85" s="6">
        <f>J87+J88</f>
        <v>5948218.9000000004</v>
      </c>
      <c r="K85" s="6">
        <f>K87+K88</f>
        <v>44504382.899999999</v>
      </c>
      <c r="L85" s="6">
        <f t="shared" ref="L85:R85" si="65">L87+L88</f>
        <v>899218.09999999986</v>
      </c>
      <c r="M85" s="7">
        <f>M87+M88</f>
        <v>0</v>
      </c>
      <c r="N85" s="5">
        <f>SUM(O85:R85)</f>
        <v>47802049.213500001</v>
      </c>
      <c r="O85" s="6">
        <f t="shared" si="65"/>
        <v>5850896.6600000001</v>
      </c>
      <c r="P85" s="6">
        <f>P87+P88</f>
        <v>41125085.607500002</v>
      </c>
      <c r="Q85" s="6">
        <f>Q87+Q88</f>
        <v>826066.94599999988</v>
      </c>
      <c r="R85" s="7">
        <f t="shared" si="65"/>
        <v>0</v>
      </c>
      <c r="S85" s="26">
        <f t="shared" si="56"/>
        <v>0.93087351736681101</v>
      </c>
      <c r="T85" s="27">
        <f t="shared" si="57"/>
        <v>0.98363842325977613</v>
      </c>
      <c r="U85" s="27">
        <f t="shared" si="58"/>
        <v>0.92406821368373593</v>
      </c>
      <c r="V85" s="27">
        <f t="shared" si="59"/>
        <v>0.9186502651581413</v>
      </c>
      <c r="W85" s="27" t="str">
        <f t="shared" si="59"/>
        <v xml:space="preserve"> </v>
      </c>
    </row>
    <row r="86" spans="1:23" s="8" customFormat="1" ht="20.25" customHeight="1" x14ac:dyDescent="0.2">
      <c r="A86" s="72"/>
      <c r="B86" s="76"/>
      <c r="C86" s="4" t="s">
        <v>259</v>
      </c>
      <c r="D86" s="35"/>
      <c r="E86" s="36"/>
      <c r="F86" s="36"/>
      <c r="G86" s="36"/>
      <c r="H86" s="37"/>
      <c r="I86" s="35"/>
      <c r="J86" s="36"/>
      <c r="K86" s="36"/>
      <c r="L86" s="36"/>
      <c r="M86" s="37"/>
      <c r="N86" s="35"/>
      <c r="O86" s="36"/>
      <c r="P86" s="36"/>
      <c r="Q86" s="36"/>
      <c r="R86" s="37"/>
      <c r="S86" s="29"/>
      <c r="T86" s="30"/>
      <c r="U86" s="30"/>
      <c r="V86" s="30"/>
      <c r="W86" s="30"/>
    </row>
    <row r="87" spans="1:23" s="32" customFormat="1" ht="30" customHeight="1" x14ac:dyDescent="0.2">
      <c r="A87" s="72"/>
      <c r="B87" s="76"/>
      <c r="C87" s="1" t="s">
        <v>260</v>
      </c>
      <c r="D87" s="5">
        <f>SUM(E87:H87)</f>
        <v>46000000</v>
      </c>
      <c r="E87" s="6"/>
      <c r="F87" s="6">
        <v>46000000</v>
      </c>
      <c r="G87" s="6"/>
      <c r="H87" s="7"/>
      <c r="I87" s="5">
        <f>SUM(J87:M87)</f>
        <v>0</v>
      </c>
      <c r="J87" s="6"/>
      <c r="K87" s="6"/>
      <c r="L87" s="6"/>
      <c r="M87" s="7"/>
      <c r="N87" s="5"/>
      <c r="O87" s="6"/>
      <c r="P87" s="6"/>
      <c r="Q87" s="6"/>
      <c r="R87" s="7"/>
      <c r="S87" s="26" t="str">
        <f t="shared" si="56"/>
        <v xml:space="preserve"> </v>
      </c>
      <c r="T87" s="27" t="str">
        <f t="shared" si="57"/>
        <v xml:space="preserve"> </v>
      </c>
      <c r="U87" s="27" t="str">
        <f t="shared" si="58"/>
        <v xml:space="preserve"> </v>
      </c>
      <c r="V87" s="27" t="str">
        <f t="shared" si="59"/>
        <v xml:space="preserve"> </v>
      </c>
      <c r="W87" s="27" t="str">
        <f t="shared" si="59"/>
        <v xml:space="preserve"> </v>
      </c>
    </row>
    <row r="88" spans="1:23" s="32" customFormat="1" ht="38.25" customHeight="1" x14ac:dyDescent="0.2">
      <c r="A88" s="72"/>
      <c r="B88" s="76"/>
      <c r="C88" s="1" t="s">
        <v>261</v>
      </c>
      <c r="D88" s="5"/>
      <c r="E88" s="6"/>
      <c r="F88" s="6"/>
      <c r="G88" s="6"/>
      <c r="H88" s="7"/>
      <c r="I88" s="5">
        <f>SUM(J88:M88)</f>
        <v>51351819.899999999</v>
      </c>
      <c r="J88" s="6">
        <f>SUM(J89,J160,J203)</f>
        <v>5948218.9000000004</v>
      </c>
      <c r="K88" s="6">
        <f t="shared" ref="K88:M88" si="66">SUM(K89,K160,K203)</f>
        <v>44504382.899999999</v>
      </c>
      <c r="L88" s="6">
        <f t="shared" si="66"/>
        <v>899218.09999999986</v>
      </c>
      <c r="M88" s="7">
        <f t="shared" si="66"/>
        <v>0</v>
      </c>
      <c r="N88" s="5">
        <f>SUM(O88:R88)</f>
        <v>47802049.213500001</v>
      </c>
      <c r="O88" s="6">
        <f>SUM(O89,O160,O203)</f>
        <v>5850896.6600000001</v>
      </c>
      <c r="P88" s="6">
        <f t="shared" ref="P88:Q88" si="67">SUM(P89,P160,P203)</f>
        <v>41125085.607500002</v>
      </c>
      <c r="Q88" s="6">
        <f t="shared" si="67"/>
        <v>826066.94599999988</v>
      </c>
      <c r="R88" s="7">
        <f>SUM(R89,R160,R203)</f>
        <v>0</v>
      </c>
      <c r="S88" s="26">
        <f t="shared" ref="S88:S151" si="68">IF(I88=0," ",N88/I88)</f>
        <v>0.93087351736681101</v>
      </c>
      <c r="T88" s="27">
        <f t="shared" ref="T88:T151" si="69">IF(J88=0," ",O88/J88)</f>
        <v>0.98363842325977613</v>
      </c>
      <c r="U88" s="27">
        <f t="shared" ref="U88:U151" si="70">IF(K88=0," ",P88/K88)</f>
        <v>0.92406821368373593</v>
      </c>
      <c r="V88" s="27">
        <f t="shared" ref="V88:W151" si="71">IF(L88=0," ",Q88/L88)</f>
        <v>0.9186502651581413</v>
      </c>
      <c r="W88" s="27" t="str">
        <f t="shared" si="71"/>
        <v xml:space="preserve"> </v>
      </c>
    </row>
    <row r="89" spans="1:23" s="32" customFormat="1" ht="39" customHeight="1" x14ac:dyDescent="0.2">
      <c r="A89" s="72"/>
      <c r="B89" s="76"/>
      <c r="C89" s="1" t="s">
        <v>262</v>
      </c>
      <c r="D89" s="5"/>
      <c r="E89" s="6"/>
      <c r="F89" s="6"/>
      <c r="G89" s="6"/>
      <c r="H89" s="7"/>
      <c r="I89" s="5">
        <f>SUM(J89:M89)</f>
        <v>16267348.799999997</v>
      </c>
      <c r="J89" s="6">
        <f>J90+J96+J114+J122+J159+J134+J136+J150+J156+J130+J142+J148+J127+J132+J147+J153</f>
        <v>3238297.6000000001</v>
      </c>
      <c r="K89" s="6">
        <f t="shared" ref="K89:M89" si="72">K90+K96+K114+K122+K159+K134+K136+K150+K156+K130+K142+K148+K127+K132+K147+K153</f>
        <v>12595375.199999997</v>
      </c>
      <c r="L89" s="6">
        <f t="shared" si="72"/>
        <v>433675.99999999994</v>
      </c>
      <c r="M89" s="7">
        <f t="shared" si="72"/>
        <v>0</v>
      </c>
      <c r="N89" s="5">
        <f>SUM(O89:R89)</f>
        <v>15497325.561600002</v>
      </c>
      <c r="O89" s="6">
        <f>O90+O96+O114+O122+O159+O134+O136+O150+O156+O130+O142+O148+O127+O132+O147+O153</f>
        <v>3193764.5640000002</v>
      </c>
      <c r="P89" s="6">
        <f>P90+P96+P114+P122+P159+P134+P136+P150+P156+P130+P142+P148+P127+P132+P147+P153</f>
        <v>11908075.4526</v>
      </c>
      <c r="Q89" s="6">
        <f t="shared" ref="Q89:R89" si="73">Q90+Q96+Q114+Q122+Q159+Q134+Q136+Q150+Q156+Q130+Q142+Q148+Q127+Q132+Q147+Q153</f>
        <v>395485.54499999993</v>
      </c>
      <c r="R89" s="7">
        <f t="shared" si="73"/>
        <v>0</v>
      </c>
      <c r="S89" s="26">
        <f t="shared" si="68"/>
        <v>0.95266449082348348</v>
      </c>
      <c r="T89" s="27">
        <f t="shared" si="69"/>
        <v>0.98624801006553575</v>
      </c>
      <c r="U89" s="27">
        <f t="shared" si="70"/>
        <v>0.94543237208209585</v>
      </c>
      <c r="V89" s="27">
        <f t="shared" si="71"/>
        <v>0.91193781763344062</v>
      </c>
      <c r="W89" s="27" t="str">
        <f t="shared" si="71"/>
        <v xml:space="preserve"> </v>
      </c>
    </row>
    <row r="90" spans="1:23" s="32" customFormat="1" ht="42.75" customHeight="1" x14ac:dyDescent="0.2">
      <c r="A90" s="72"/>
      <c r="B90" s="76"/>
      <c r="C90" s="40" t="s">
        <v>263</v>
      </c>
      <c r="D90" s="5"/>
      <c r="E90" s="6"/>
      <c r="F90" s="6"/>
      <c r="G90" s="6"/>
      <c r="H90" s="7"/>
      <c r="I90" s="5">
        <f>SUM(J90:M90)</f>
        <v>41499.300000000003</v>
      </c>
      <c r="J90" s="6">
        <f>SUM(J91:J95)</f>
        <v>0</v>
      </c>
      <c r="K90" s="6">
        <f>SUM(K91:K95)</f>
        <v>26450</v>
      </c>
      <c r="L90" s="6">
        <f>SUM(L91:L95)</f>
        <v>15049.3</v>
      </c>
      <c r="M90" s="7">
        <f t="shared" ref="M90" si="74">M91</f>
        <v>0</v>
      </c>
      <c r="N90" s="5">
        <f t="shared" ref="N90:N151" si="75">SUM(O90:R90)</f>
        <v>41498.989000000001</v>
      </c>
      <c r="O90" s="6">
        <f>SUM(O91:O95)</f>
        <v>0</v>
      </c>
      <c r="P90" s="6">
        <f>SUM(P91:P95)</f>
        <v>26450</v>
      </c>
      <c r="Q90" s="6">
        <f>SUM(Q91:Q95)</f>
        <v>15048.989</v>
      </c>
      <c r="R90" s="7">
        <f t="shared" ref="R90" si="76">R91</f>
        <v>0</v>
      </c>
      <c r="S90" s="26">
        <f t="shared" si="68"/>
        <v>0.99999250589768984</v>
      </c>
      <c r="T90" s="27" t="str">
        <f t="shared" si="69"/>
        <v xml:space="preserve"> </v>
      </c>
      <c r="U90" s="27">
        <f t="shared" si="70"/>
        <v>1</v>
      </c>
      <c r="V90" s="27">
        <f t="shared" si="71"/>
        <v>0.99997933458699073</v>
      </c>
      <c r="W90" s="27" t="str">
        <f t="shared" si="71"/>
        <v xml:space="preserve"> </v>
      </c>
    </row>
    <row r="91" spans="1:23" s="8" customFormat="1" ht="39" customHeight="1" x14ac:dyDescent="0.2">
      <c r="A91" s="74"/>
      <c r="B91" s="75"/>
      <c r="C91" s="4" t="s">
        <v>264</v>
      </c>
      <c r="D91" s="35"/>
      <c r="E91" s="36"/>
      <c r="F91" s="36"/>
      <c r="G91" s="36"/>
      <c r="H91" s="37"/>
      <c r="I91" s="35">
        <f>SUM(J91:M91)</f>
        <v>26450</v>
      </c>
      <c r="J91" s="36"/>
      <c r="K91" s="39">
        <v>26450</v>
      </c>
      <c r="L91" s="36"/>
      <c r="M91" s="37"/>
      <c r="N91" s="35">
        <f t="shared" si="75"/>
        <v>26450</v>
      </c>
      <c r="O91" s="36"/>
      <c r="P91" s="39">
        <v>26450</v>
      </c>
      <c r="Q91" s="36"/>
      <c r="R91" s="37"/>
      <c r="S91" s="29">
        <f t="shared" si="68"/>
        <v>1</v>
      </c>
      <c r="T91" s="30" t="str">
        <f t="shared" si="69"/>
        <v xml:space="preserve"> </v>
      </c>
      <c r="U91" s="30">
        <f t="shared" si="70"/>
        <v>1</v>
      </c>
      <c r="V91" s="30" t="str">
        <f t="shared" si="71"/>
        <v xml:space="preserve"> </v>
      </c>
      <c r="W91" s="30" t="str">
        <f t="shared" si="71"/>
        <v xml:space="preserve"> </v>
      </c>
    </row>
    <row r="92" spans="1:23" s="8" customFormat="1" ht="39" customHeight="1" x14ac:dyDescent="0.2">
      <c r="A92" s="74"/>
      <c r="B92" s="75"/>
      <c r="C92" s="41" t="s">
        <v>265</v>
      </c>
      <c r="D92" s="35"/>
      <c r="E92" s="36"/>
      <c r="F92" s="36"/>
      <c r="G92" s="36"/>
      <c r="H92" s="37"/>
      <c r="I92" s="35">
        <f t="shared" ref="I92:I95" si="77">SUM(J92:M92)</f>
        <v>3755.2</v>
      </c>
      <c r="J92" s="36"/>
      <c r="K92" s="39"/>
      <c r="L92" s="39">
        <v>3755.2</v>
      </c>
      <c r="M92" s="37"/>
      <c r="N92" s="35">
        <f t="shared" si="75"/>
        <v>3755.1179999999999</v>
      </c>
      <c r="O92" s="36"/>
      <c r="P92" s="39"/>
      <c r="Q92" s="39">
        <v>3755.1179999999999</v>
      </c>
      <c r="R92" s="37"/>
      <c r="S92" s="29">
        <f t="shared" si="68"/>
        <v>0.99997816361312319</v>
      </c>
      <c r="T92" s="30" t="str">
        <f t="shared" si="69"/>
        <v xml:space="preserve"> </v>
      </c>
      <c r="U92" s="30" t="str">
        <f t="shared" si="70"/>
        <v xml:space="preserve"> </v>
      </c>
      <c r="V92" s="30">
        <f t="shared" si="71"/>
        <v>0.99997816361312319</v>
      </c>
      <c r="W92" s="30" t="str">
        <f t="shared" si="71"/>
        <v xml:space="preserve"> </v>
      </c>
    </row>
    <row r="93" spans="1:23" s="8" customFormat="1" ht="39" customHeight="1" x14ac:dyDescent="0.2">
      <c r="A93" s="74"/>
      <c r="B93" s="75"/>
      <c r="C93" s="42" t="s">
        <v>266</v>
      </c>
      <c r="D93" s="35"/>
      <c r="E93" s="36"/>
      <c r="F93" s="36"/>
      <c r="G93" s="36"/>
      <c r="H93" s="37"/>
      <c r="I93" s="35">
        <f t="shared" si="77"/>
        <v>2713.6</v>
      </c>
      <c r="J93" s="36"/>
      <c r="K93" s="39"/>
      <c r="L93" s="39">
        <v>2713.6</v>
      </c>
      <c r="M93" s="37"/>
      <c r="N93" s="35">
        <f t="shared" si="75"/>
        <v>2713.48</v>
      </c>
      <c r="O93" s="36"/>
      <c r="P93" s="39"/>
      <c r="Q93" s="39">
        <v>2713.48</v>
      </c>
      <c r="R93" s="37"/>
      <c r="S93" s="29">
        <f t="shared" si="68"/>
        <v>0.99995577830188687</v>
      </c>
      <c r="T93" s="30" t="str">
        <f t="shared" si="69"/>
        <v xml:space="preserve"> </v>
      </c>
      <c r="U93" s="30" t="str">
        <f t="shared" si="70"/>
        <v xml:space="preserve"> </v>
      </c>
      <c r="V93" s="30">
        <f t="shared" si="71"/>
        <v>0.99995577830188687</v>
      </c>
      <c r="W93" s="30" t="str">
        <f t="shared" si="71"/>
        <v xml:space="preserve"> </v>
      </c>
    </row>
    <row r="94" spans="1:23" s="8" customFormat="1" ht="39" customHeight="1" x14ac:dyDescent="0.2">
      <c r="A94" s="74"/>
      <c r="B94" s="75"/>
      <c r="C94" s="42" t="s">
        <v>267</v>
      </c>
      <c r="D94" s="35"/>
      <c r="E94" s="36"/>
      <c r="F94" s="36"/>
      <c r="G94" s="36"/>
      <c r="H94" s="37"/>
      <c r="I94" s="35">
        <f t="shared" si="77"/>
        <v>1238.4000000000001</v>
      </c>
      <c r="J94" s="36"/>
      <c r="K94" s="39"/>
      <c r="L94" s="39">
        <v>1238.4000000000001</v>
      </c>
      <c r="M94" s="37"/>
      <c r="N94" s="35">
        <f t="shared" si="75"/>
        <v>1238.384</v>
      </c>
      <c r="O94" s="36"/>
      <c r="P94" s="39"/>
      <c r="Q94" s="39">
        <v>1238.384</v>
      </c>
      <c r="R94" s="37"/>
      <c r="S94" s="29">
        <f t="shared" si="68"/>
        <v>0.99998708010335913</v>
      </c>
      <c r="T94" s="30" t="str">
        <f t="shared" si="69"/>
        <v xml:space="preserve"> </v>
      </c>
      <c r="U94" s="30" t="str">
        <f t="shared" si="70"/>
        <v xml:space="preserve"> </v>
      </c>
      <c r="V94" s="30">
        <f t="shared" si="71"/>
        <v>0.99998708010335913</v>
      </c>
      <c r="W94" s="30" t="str">
        <f t="shared" si="71"/>
        <v xml:space="preserve"> </v>
      </c>
    </row>
    <row r="95" spans="1:23" s="8" customFormat="1" ht="46.5" customHeight="1" x14ac:dyDescent="0.2">
      <c r="A95" s="74"/>
      <c r="B95" s="75"/>
      <c r="C95" s="42" t="s">
        <v>268</v>
      </c>
      <c r="D95" s="35"/>
      <c r="E95" s="36"/>
      <c r="F95" s="36"/>
      <c r="G95" s="36"/>
      <c r="H95" s="37"/>
      <c r="I95" s="35">
        <f t="shared" si="77"/>
        <v>7342.0999999999995</v>
      </c>
      <c r="J95" s="36"/>
      <c r="K95" s="39"/>
      <c r="L95" s="39">
        <v>7342.0999999999995</v>
      </c>
      <c r="M95" s="37"/>
      <c r="N95" s="35">
        <f t="shared" si="75"/>
        <v>7342.0069999999996</v>
      </c>
      <c r="O95" s="36"/>
      <c r="P95" s="39"/>
      <c r="Q95" s="39">
        <v>7342.0069999999996</v>
      </c>
      <c r="R95" s="37"/>
      <c r="S95" s="29">
        <f t="shared" si="68"/>
        <v>0.99998733332425327</v>
      </c>
      <c r="T95" s="30" t="str">
        <f t="shared" si="69"/>
        <v xml:space="preserve"> </v>
      </c>
      <c r="U95" s="30" t="str">
        <f t="shared" si="70"/>
        <v xml:space="preserve"> </v>
      </c>
      <c r="V95" s="30">
        <f t="shared" si="71"/>
        <v>0.99998733332425327</v>
      </c>
      <c r="W95" s="30" t="str">
        <f t="shared" si="71"/>
        <v xml:space="preserve"> </v>
      </c>
    </row>
    <row r="96" spans="1:23" s="32" customFormat="1" ht="48.75" customHeight="1" x14ac:dyDescent="0.2">
      <c r="A96" s="72"/>
      <c r="B96" s="76"/>
      <c r="C96" s="40" t="s">
        <v>269</v>
      </c>
      <c r="D96" s="5"/>
      <c r="E96" s="6"/>
      <c r="F96" s="6"/>
      <c r="G96" s="6"/>
      <c r="H96" s="7"/>
      <c r="I96" s="5">
        <f>SUM(J96:M96)</f>
        <v>6565307.7000000002</v>
      </c>
      <c r="J96" s="6">
        <f>SUM(J97:J113)</f>
        <v>1760123.5</v>
      </c>
      <c r="K96" s="6">
        <f t="shared" ref="K96:M96" si="78">SUM(K97:K113)</f>
        <v>4556086.2</v>
      </c>
      <c r="L96" s="6">
        <f t="shared" si="78"/>
        <v>249097.99999999997</v>
      </c>
      <c r="M96" s="7">
        <f t="shared" si="78"/>
        <v>0</v>
      </c>
      <c r="N96" s="5">
        <f>SUM(O96:R96)</f>
        <v>6246448.8596999999</v>
      </c>
      <c r="O96" s="6">
        <f>SUM(O97:O113)</f>
        <v>1748575.05</v>
      </c>
      <c r="P96" s="6">
        <f>SUM(P97:P113)</f>
        <v>4268634.2377000004</v>
      </c>
      <c r="Q96" s="6">
        <f>SUM(Q97:Q113)</f>
        <v>229239.57199999999</v>
      </c>
      <c r="R96" s="7">
        <f>SUM(R97:R104)</f>
        <v>0</v>
      </c>
      <c r="S96" s="26">
        <f t="shared" si="68"/>
        <v>0.95143276524571718</v>
      </c>
      <c r="T96" s="27">
        <f t="shared" si="69"/>
        <v>0.99343884108132186</v>
      </c>
      <c r="U96" s="27">
        <f t="shared" si="70"/>
        <v>0.93690813788817262</v>
      </c>
      <c r="V96" s="27">
        <f t="shared" si="71"/>
        <v>0.92027865338140014</v>
      </c>
      <c r="W96" s="27" t="str">
        <f t="shared" si="71"/>
        <v xml:space="preserve"> </v>
      </c>
    </row>
    <row r="97" spans="1:23" ht="39" customHeight="1" x14ac:dyDescent="0.2">
      <c r="A97" s="74"/>
      <c r="B97" s="75"/>
      <c r="C97" s="41" t="s">
        <v>270</v>
      </c>
      <c r="D97" s="35"/>
      <c r="E97" s="36"/>
      <c r="F97" s="36"/>
      <c r="G97" s="36"/>
      <c r="H97" s="37"/>
      <c r="I97" s="35">
        <f>SUM(J97:M97)</f>
        <v>31797.300000000047</v>
      </c>
      <c r="J97" s="36"/>
      <c r="K97" s="39">
        <v>31797.300000000047</v>
      </c>
      <c r="L97" s="36"/>
      <c r="M97" s="37"/>
      <c r="N97" s="35">
        <f t="shared" si="75"/>
        <v>30387.048699999999</v>
      </c>
      <c r="O97" s="36"/>
      <c r="P97" s="36">
        <v>30387.048699999999</v>
      </c>
      <c r="Q97" s="36"/>
      <c r="R97" s="37"/>
      <c r="S97" s="29">
        <f t="shared" si="68"/>
        <v>0.95564870916712907</v>
      </c>
      <c r="T97" s="30" t="str">
        <f t="shared" si="69"/>
        <v xml:space="preserve"> </v>
      </c>
      <c r="U97" s="30">
        <f t="shared" si="70"/>
        <v>0.95564870916712907</v>
      </c>
      <c r="V97" s="30" t="str">
        <f t="shared" si="71"/>
        <v xml:space="preserve"> </v>
      </c>
      <c r="W97" s="30" t="str">
        <f t="shared" si="71"/>
        <v xml:space="preserve"> </v>
      </c>
    </row>
    <row r="98" spans="1:23" s="8" customFormat="1" ht="39" customHeight="1" x14ac:dyDescent="0.2">
      <c r="A98" s="74"/>
      <c r="B98" s="75"/>
      <c r="C98" s="4" t="s">
        <v>271</v>
      </c>
      <c r="D98" s="35"/>
      <c r="E98" s="36"/>
      <c r="F98" s="36"/>
      <c r="G98" s="36"/>
      <c r="H98" s="37"/>
      <c r="I98" s="35">
        <f t="shared" ref="I98:I169" si="79">SUM(J98:M98)</f>
        <v>630913.4</v>
      </c>
      <c r="J98" s="36"/>
      <c r="K98" s="39">
        <v>630913.4</v>
      </c>
      <c r="L98" s="36"/>
      <c r="M98" s="37"/>
      <c r="N98" s="35">
        <f t="shared" si="75"/>
        <v>630913.32499999995</v>
      </c>
      <c r="O98" s="36"/>
      <c r="P98" s="36">
        <v>630913.32499999995</v>
      </c>
      <c r="Q98" s="36"/>
      <c r="R98" s="37"/>
      <c r="S98" s="29">
        <f t="shared" si="68"/>
        <v>0.99999988112473115</v>
      </c>
      <c r="T98" s="30" t="str">
        <f t="shared" si="69"/>
        <v xml:space="preserve"> </v>
      </c>
      <c r="U98" s="30">
        <f t="shared" si="70"/>
        <v>0.99999988112473115</v>
      </c>
      <c r="V98" s="30" t="str">
        <f t="shared" si="71"/>
        <v xml:space="preserve"> </v>
      </c>
      <c r="W98" s="30" t="str">
        <f t="shared" si="71"/>
        <v xml:space="preserve"> </v>
      </c>
    </row>
    <row r="99" spans="1:23" s="8" customFormat="1" ht="39" customHeight="1" x14ac:dyDescent="0.2">
      <c r="A99" s="74"/>
      <c r="B99" s="75"/>
      <c r="C99" s="4" t="s">
        <v>272</v>
      </c>
      <c r="D99" s="35"/>
      <c r="E99" s="36"/>
      <c r="F99" s="36"/>
      <c r="G99" s="36"/>
      <c r="H99" s="37"/>
      <c r="I99" s="35">
        <f t="shared" si="79"/>
        <v>784073.8</v>
      </c>
      <c r="J99" s="36"/>
      <c r="K99" s="39">
        <v>784073.8</v>
      </c>
      <c r="L99" s="39"/>
      <c r="M99" s="37"/>
      <c r="N99" s="35">
        <f t="shared" si="75"/>
        <v>648107.64400000009</v>
      </c>
      <c r="O99" s="36"/>
      <c r="P99" s="36">
        <v>648107.64400000009</v>
      </c>
      <c r="Q99" s="39"/>
      <c r="R99" s="37"/>
      <c r="S99" s="29">
        <f t="shared" si="68"/>
        <v>0.8265901041458088</v>
      </c>
      <c r="T99" s="30" t="str">
        <f t="shared" si="69"/>
        <v xml:space="preserve"> </v>
      </c>
      <c r="U99" s="30">
        <f t="shared" si="70"/>
        <v>0.8265901041458088</v>
      </c>
      <c r="V99" s="30" t="str">
        <f t="shared" si="71"/>
        <v xml:space="preserve"> </v>
      </c>
      <c r="W99" s="30" t="str">
        <f t="shared" si="71"/>
        <v xml:space="preserve"> </v>
      </c>
    </row>
    <row r="100" spans="1:23" ht="39" customHeight="1" x14ac:dyDescent="0.2">
      <c r="A100" s="74"/>
      <c r="B100" s="75"/>
      <c r="C100" s="4" t="s">
        <v>273</v>
      </c>
      <c r="D100" s="35"/>
      <c r="E100" s="36"/>
      <c r="F100" s="36"/>
      <c r="G100" s="36"/>
      <c r="H100" s="37"/>
      <c r="I100" s="35">
        <f t="shared" si="79"/>
        <v>936365.2</v>
      </c>
      <c r="J100" s="36"/>
      <c r="K100" s="39">
        <v>936365.2</v>
      </c>
      <c r="L100" s="39"/>
      <c r="M100" s="37"/>
      <c r="N100" s="35">
        <f t="shared" si="75"/>
        <v>800973.59600000002</v>
      </c>
      <c r="O100" s="36"/>
      <c r="P100" s="36">
        <v>800973.59600000002</v>
      </c>
      <c r="Q100" s="39"/>
      <c r="R100" s="37"/>
      <c r="S100" s="29">
        <f t="shared" si="68"/>
        <v>0.85540726631019615</v>
      </c>
      <c r="T100" s="30" t="str">
        <f t="shared" si="69"/>
        <v xml:space="preserve"> </v>
      </c>
      <c r="U100" s="30">
        <f t="shared" si="70"/>
        <v>0.85540726631019615</v>
      </c>
      <c r="V100" s="30" t="str">
        <f t="shared" si="71"/>
        <v xml:space="preserve"> </v>
      </c>
      <c r="W100" s="30" t="str">
        <f t="shared" si="71"/>
        <v xml:space="preserve"> </v>
      </c>
    </row>
    <row r="101" spans="1:23" ht="39" customHeight="1" x14ac:dyDescent="0.2">
      <c r="A101" s="74"/>
      <c r="B101" s="75"/>
      <c r="C101" s="4" t="s">
        <v>274</v>
      </c>
      <c r="D101" s="35"/>
      <c r="E101" s="36"/>
      <c r="F101" s="36"/>
      <c r="G101" s="36"/>
      <c r="H101" s="37"/>
      <c r="I101" s="35">
        <f t="shared" si="79"/>
        <v>936248.8</v>
      </c>
      <c r="J101" s="36"/>
      <c r="K101" s="39">
        <v>936248.8</v>
      </c>
      <c r="L101" s="39"/>
      <c r="M101" s="37"/>
      <c r="N101" s="35">
        <f t="shared" si="75"/>
        <v>936248.75600000005</v>
      </c>
      <c r="O101" s="36"/>
      <c r="P101" s="36">
        <v>936248.75600000005</v>
      </c>
      <c r="Q101" s="39"/>
      <c r="R101" s="37"/>
      <c r="S101" s="29">
        <f t="shared" si="68"/>
        <v>0.99999995300394506</v>
      </c>
      <c r="T101" s="30" t="str">
        <f t="shared" si="69"/>
        <v xml:space="preserve"> </v>
      </c>
      <c r="U101" s="30">
        <f t="shared" si="70"/>
        <v>0.99999995300394506</v>
      </c>
      <c r="V101" s="30" t="str">
        <f t="shared" si="71"/>
        <v xml:space="preserve"> </v>
      </c>
      <c r="W101" s="30" t="str">
        <f t="shared" si="71"/>
        <v xml:space="preserve"> </v>
      </c>
    </row>
    <row r="102" spans="1:23" ht="39" customHeight="1" x14ac:dyDescent="0.2">
      <c r="A102" s="74"/>
      <c r="B102" s="75"/>
      <c r="C102" s="4" t="s">
        <v>275</v>
      </c>
      <c r="D102" s="35"/>
      <c r="E102" s="36"/>
      <c r="F102" s="36"/>
      <c r="G102" s="36"/>
      <c r="H102" s="37"/>
      <c r="I102" s="35">
        <f t="shared" si="79"/>
        <v>1075278.5</v>
      </c>
      <c r="J102" s="36"/>
      <c r="K102" s="39">
        <v>1056779.5</v>
      </c>
      <c r="L102" s="39">
        <v>18499</v>
      </c>
      <c r="M102" s="37"/>
      <c r="N102" s="35">
        <f t="shared" si="75"/>
        <v>1068005.879</v>
      </c>
      <c r="O102" s="36"/>
      <c r="P102" s="36">
        <v>1049506.966</v>
      </c>
      <c r="Q102" s="39">
        <v>18498.913</v>
      </c>
      <c r="R102" s="37"/>
      <c r="S102" s="29">
        <f t="shared" si="68"/>
        <v>0.99323652337510693</v>
      </c>
      <c r="T102" s="30" t="str">
        <f t="shared" si="69"/>
        <v xml:space="preserve"> </v>
      </c>
      <c r="U102" s="30">
        <f t="shared" si="70"/>
        <v>0.99311821056331995</v>
      </c>
      <c r="V102" s="30">
        <f t="shared" si="71"/>
        <v>0.99999529704308343</v>
      </c>
      <c r="W102" s="30" t="str">
        <f t="shared" si="71"/>
        <v xml:space="preserve"> </v>
      </c>
    </row>
    <row r="103" spans="1:23" ht="96" customHeight="1" x14ac:dyDescent="0.2">
      <c r="A103" s="74"/>
      <c r="B103" s="75"/>
      <c r="C103" s="43" t="s">
        <v>276</v>
      </c>
      <c r="D103" s="35"/>
      <c r="E103" s="36"/>
      <c r="F103" s="36"/>
      <c r="G103" s="36"/>
      <c r="H103" s="37"/>
      <c r="I103" s="35">
        <f t="shared" si="79"/>
        <v>1803501.5</v>
      </c>
      <c r="J103" s="39">
        <v>1760123.5</v>
      </c>
      <c r="K103" s="36"/>
      <c r="L103" s="39">
        <v>43378</v>
      </c>
      <c r="M103" s="37"/>
      <c r="N103" s="35">
        <f t="shared" si="75"/>
        <v>1791125.05</v>
      </c>
      <c r="O103" s="36">
        <v>1748575.05</v>
      </c>
      <c r="P103" s="36"/>
      <c r="Q103" s="39">
        <v>42550</v>
      </c>
      <c r="R103" s="37"/>
      <c r="S103" s="29">
        <f t="shared" si="68"/>
        <v>0.99313754382793695</v>
      </c>
      <c r="T103" s="30">
        <f t="shared" si="69"/>
        <v>0.99343884108132186</v>
      </c>
      <c r="U103" s="30" t="str">
        <f t="shared" si="70"/>
        <v xml:space="preserve"> </v>
      </c>
      <c r="V103" s="30">
        <f t="shared" si="71"/>
        <v>0.98091198303287386</v>
      </c>
      <c r="W103" s="30" t="str">
        <f t="shared" si="71"/>
        <v xml:space="preserve"> </v>
      </c>
    </row>
    <row r="104" spans="1:23" ht="102" customHeight="1" x14ac:dyDescent="0.2">
      <c r="A104" s="74"/>
      <c r="B104" s="75"/>
      <c r="C104" s="43" t="s">
        <v>277</v>
      </c>
      <c r="D104" s="35"/>
      <c r="E104" s="36"/>
      <c r="F104" s="36"/>
      <c r="G104" s="36"/>
      <c r="H104" s="37"/>
      <c r="I104" s="35">
        <f>SUM(J104:M104)</f>
        <v>179908.19999999995</v>
      </c>
      <c r="J104" s="39"/>
      <c r="K104" s="39">
        <v>179908.19999999995</v>
      </c>
      <c r="L104" s="36"/>
      <c r="M104" s="37"/>
      <c r="N104" s="35">
        <f t="shared" si="75"/>
        <v>172496.902</v>
      </c>
      <c r="O104" s="36"/>
      <c r="P104" s="36">
        <v>172496.902</v>
      </c>
      <c r="Q104" s="36"/>
      <c r="R104" s="37"/>
      <c r="S104" s="29">
        <f t="shared" si="68"/>
        <v>0.95880511282976566</v>
      </c>
      <c r="T104" s="30" t="str">
        <f t="shared" si="69"/>
        <v xml:space="preserve"> </v>
      </c>
      <c r="U104" s="30">
        <f t="shared" si="70"/>
        <v>0.95880511282976566</v>
      </c>
      <c r="V104" s="30" t="str">
        <f t="shared" si="71"/>
        <v xml:space="preserve"> </v>
      </c>
      <c r="W104" s="30" t="str">
        <f t="shared" si="71"/>
        <v xml:space="preserve"> </v>
      </c>
    </row>
    <row r="105" spans="1:23" ht="40.5" customHeight="1" x14ac:dyDescent="0.2">
      <c r="A105" s="74"/>
      <c r="B105" s="75"/>
      <c r="C105" s="44" t="s">
        <v>278</v>
      </c>
      <c r="D105" s="35"/>
      <c r="E105" s="36"/>
      <c r="F105" s="36"/>
      <c r="G105" s="36"/>
      <c r="H105" s="37"/>
      <c r="I105" s="35">
        <f t="shared" ref="I105:I113" si="80">SUM(J105:M105)</f>
        <v>9669.7999999999993</v>
      </c>
      <c r="J105" s="39"/>
      <c r="K105" s="39"/>
      <c r="L105" s="39">
        <v>9669.7999999999993</v>
      </c>
      <c r="M105" s="37"/>
      <c r="N105" s="35">
        <f t="shared" si="75"/>
        <v>9669.7999999999993</v>
      </c>
      <c r="O105" s="36"/>
      <c r="P105" s="36"/>
      <c r="Q105" s="39">
        <v>9669.7999999999993</v>
      </c>
      <c r="R105" s="37"/>
      <c r="S105" s="29">
        <f t="shared" si="68"/>
        <v>1</v>
      </c>
      <c r="T105" s="30" t="str">
        <f t="shared" si="69"/>
        <v xml:space="preserve"> </v>
      </c>
      <c r="U105" s="30" t="str">
        <f t="shared" si="70"/>
        <v xml:space="preserve"> </v>
      </c>
      <c r="V105" s="30">
        <f t="shared" si="71"/>
        <v>1</v>
      </c>
      <c r="W105" s="30" t="str">
        <f t="shared" si="71"/>
        <v xml:space="preserve"> </v>
      </c>
    </row>
    <row r="106" spans="1:23" ht="39.950000000000003" customHeight="1" x14ac:dyDescent="0.2">
      <c r="A106" s="74"/>
      <c r="B106" s="75"/>
      <c r="C106" s="44" t="s">
        <v>279</v>
      </c>
      <c r="D106" s="35"/>
      <c r="E106" s="36"/>
      <c r="F106" s="36"/>
      <c r="G106" s="36"/>
      <c r="H106" s="37"/>
      <c r="I106" s="35">
        <f t="shared" si="80"/>
        <v>13308.9</v>
      </c>
      <c r="J106" s="39"/>
      <c r="K106" s="39"/>
      <c r="L106" s="39">
        <v>13308.9</v>
      </c>
      <c r="M106" s="37"/>
      <c r="N106" s="35">
        <f t="shared" si="75"/>
        <v>13308.9</v>
      </c>
      <c r="O106" s="36"/>
      <c r="P106" s="36"/>
      <c r="Q106" s="39">
        <v>13308.9</v>
      </c>
      <c r="R106" s="37"/>
      <c r="S106" s="29">
        <f t="shared" si="68"/>
        <v>1</v>
      </c>
      <c r="T106" s="30" t="str">
        <f t="shared" si="69"/>
        <v xml:space="preserve"> </v>
      </c>
      <c r="U106" s="30" t="str">
        <f t="shared" si="70"/>
        <v xml:space="preserve"> </v>
      </c>
      <c r="V106" s="30">
        <f t="shared" si="71"/>
        <v>1</v>
      </c>
      <c r="W106" s="30" t="str">
        <f t="shared" si="71"/>
        <v xml:space="preserve"> </v>
      </c>
    </row>
    <row r="107" spans="1:23" ht="39.950000000000003" customHeight="1" x14ac:dyDescent="0.2">
      <c r="A107" s="74"/>
      <c r="B107" s="75"/>
      <c r="C107" s="44" t="s">
        <v>280</v>
      </c>
      <c r="D107" s="35"/>
      <c r="E107" s="36"/>
      <c r="F107" s="36"/>
      <c r="G107" s="36"/>
      <c r="H107" s="37"/>
      <c r="I107" s="35">
        <f t="shared" si="80"/>
        <v>15375.5</v>
      </c>
      <c r="J107" s="39"/>
      <c r="K107" s="39"/>
      <c r="L107" s="39">
        <v>15375.5</v>
      </c>
      <c r="M107" s="37"/>
      <c r="N107" s="35">
        <f t="shared" si="75"/>
        <v>15375.5</v>
      </c>
      <c r="O107" s="36"/>
      <c r="P107" s="36"/>
      <c r="Q107" s="39">
        <v>15375.5</v>
      </c>
      <c r="R107" s="37"/>
      <c r="S107" s="29">
        <f t="shared" si="68"/>
        <v>1</v>
      </c>
      <c r="T107" s="30" t="str">
        <f t="shared" si="69"/>
        <v xml:space="preserve"> </v>
      </c>
      <c r="U107" s="30" t="str">
        <f t="shared" si="70"/>
        <v xml:space="preserve"> </v>
      </c>
      <c r="V107" s="30">
        <f t="shared" si="71"/>
        <v>1</v>
      </c>
      <c r="W107" s="30" t="str">
        <f t="shared" si="71"/>
        <v xml:space="preserve"> </v>
      </c>
    </row>
    <row r="108" spans="1:23" ht="39.950000000000003" customHeight="1" x14ac:dyDescent="0.2">
      <c r="A108" s="74"/>
      <c r="B108" s="75"/>
      <c r="C108" s="44" t="s">
        <v>281</v>
      </c>
      <c r="D108" s="35"/>
      <c r="E108" s="36"/>
      <c r="F108" s="36"/>
      <c r="G108" s="36"/>
      <c r="H108" s="37"/>
      <c r="I108" s="35">
        <f t="shared" si="80"/>
        <v>18045.2</v>
      </c>
      <c r="J108" s="39"/>
      <c r="K108" s="39"/>
      <c r="L108" s="39">
        <v>18045.2</v>
      </c>
      <c r="M108" s="37"/>
      <c r="N108" s="35">
        <f t="shared" si="75"/>
        <v>18045.2</v>
      </c>
      <c r="O108" s="36"/>
      <c r="P108" s="36"/>
      <c r="Q108" s="39">
        <v>18045.2</v>
      </c>
      <c r="R108" s="37"/>
      <c r="S108" s="29">
        <f t="shared" si="68"/>
        <v>1</v>
      </c>
      <c r="T108" s="30" t="str">
        <f t="shared" si="69"/>
        <v xml:space="preserve"> </v>
      </c>
      <c r="U108" s="30" t="str">
        <f t="shared" si="70"/>
        <v xml:space="preserve"> </v>
      </c>
      <c r="V108" s="30">
        <f t="shared" si="71"/>
        <v>1</v>
      </c>
      <c r="W108" s="30" t="str">
        <f t="shared" si="71"/>
        <v xml:space="preserve"> </v>
      </c>
    </row>
    <row r="109" spans="1:23" ht="45.75" customHeight="1" x14ac:dyDescent="0.2">
      <c r="A109" s="74"/>
      <c r="B109" s="75"/>
      <c r="C109" s="44" t="s">
        <v>282</v>
      </c>
      <c r="D109" s="35"/>
      <c r="E109" s="36"/>
      <c r="F109" s="36"/>
      <c r="G109" s="36"/>
      <c r="H109" s="37"/>
      <c r="I109" s="35">
        <f t="shared" si="80"/>
        <v>16945.8</v>
      </c>
      <c r="J109" s="39"/>
      <c r="K109" s="39"/>
      <c r="L109" s="39">
        <v>16945.8</v>
      </c>
      <c r="M109" s="37"/>
      <c r="N109" s="35">
        <f t="shared" si="75"/>
        <v>16665.626</v>
      </c>
      <c r="O109" s="36"/>
      <c r="P109" s="36"/>
      <c r="Q109" s="39">
        <v>16665.626</v>
      </c>
      <c r="R109" s="37"/>
      <c r="S109" s="29">
        <f t="shared" si="68"/>
        <v>0.98346646366651325</v>
      </c>
      <c r="T109" s="30" t="str">
        <f t="shared" si="69"/>
        <v xml:space="preserve"> </v>
      </c>
      <c r="U109" s="30" t="str">
        <f t="shared" si="70"/>
        <v xml:space="preserve"> </v>
      </c>
      <c r="V109" s="30">
        <f t="shared" si="71"/>
        <v>0.98346646366651325</v>
      </c>
      <c r="W109" s="30" t="str">
        <f t="shared" si="71"/>
        <v xml:space="preserve"> </v>
      </c>
    </row>
    <row r="110" spans="1:23" ht="39.950000000000003" customHeight="1" x14ac:dyDescent="0.2">
      <c r="A110" s="74"/>
      <c r="B110" s="75"/>
      <c r="C110" s="44" t="s">
        <v>283</v>
      </c>
      <c r="D110" s="35"/>
      <c r="E110" s="36"/>
      <c r="F110" s="36"/>
      <c r="G110" s="36"/>
      <c r="H110" s="37"/>
      <c r="I110" s="35">
        <f t="shared" si="80"/>
        <v>29160.400000000001</v>
      </c>
      <c r="J110" s="39"/>
      <c r="K110" s="39"/>
      <c r="L110" s="39">
        <v>29160.400000000001</v>
      </c>
      <c r="M110" s="37"/>
      <c r="N110" s="35">
        <f t="shared" si="75"/>
        <v>29160.233</v>
      </c>
      <c r="O110" s="36"/>
      <c r="P110" s="36"/>
      <c r="Q110" s="39">
        <v>29160.233</v>
      </c>
      <c r="R110" s="37"/>
      <c r="S110" s="29">
        <f t="shared" si="68"/>
        <v>0.99999427305523925</v>
      </c>
      <c r="T110" s="30" t="str">
        <f t="shared" si="69"/>
        <v xml:space="preserve"> </v>
      </c>
      <c r="U110" s="30" t="str">
        <f t="shared" si="70"/>
        <v xml:space="preserve"> </v>
      </c>
      <c r="V110" s="30">
        <f t="shared" si="71"/>
        <v>0.99999427305523925</v>
      </c>
      <c r="W110" s="30" t="str">
        <f t="shared" si="71"/>
        <v xml:space="preserve"> </v>
      </c>
    </row>
    <row r="111" spans="1:23" ht="39.950000000000003" customHeight="1" x14ac:dyDescent="0.2">
      <c r="A111" s="74"/>
      <c r="B111" s="75"/>
      <c r="C111" s="44" t="s">
        <v>284</v>
      </c>
      <c r="D111" s="35"/>
      <c r="E111" s="36"/>
      <c r="F111" s="36"/>
      <c r="G111" s="36"/>
      <c r="H111" s="37"/>
      <c r="I111" s="35">
        <f t="shared" si="80"/>
        <v>30375.399999999998</v>
      </c>
      <c r="J111" s="39"/>
      <c r="K111" s="39"/>
      <c r="L111" s="39">
        <v>30375.399999999998</v>
      </c>
      <c r="M111" s="37"/>
      <c r="N111" s="35">
        <f t="shared" si="75"/>
        <v>30375.399999999998</v>
      </c>
      <c r="O111" s="36"/>
      <c r="P111" s="36"/>
      <c r="Q111" s="39">
        <v>30375.399999999998</v>
      </c>
      <c r="R111" s="37"/>
      <c r="S111" s="29">
        <f t="shared" si="68"/>
        <v>1</v>
      </c>
      <c r="T111" s="30" t="str">
        <f t="shared" si="69"/>
        <v xml:space="preserve"> </v>
      </c>
      <c r="U111" s="30" t="str">
        <f t="shared" si="70"/>
        <v xml:space="preserve"> </v>
      </c>
      <c r="V111" s="30">
        <f t="shared" si="71"/>
        <v>1</v>
      </c>
      <c r="W111" s="30" t="str">
        <f t="shared" si="71"/>
        <v xml:space="preserve"> </v>
      </c>
    </row>
    <row r="112" spans="1:23" ht="57" customHeight="1" x14ac:dyDescent="0.2">
      <c r="A112" s="74"/>
      <c r="B112" s="75"/>
      <c r="C112" s="42" t="s">
        <v>285</v>
      </c>
      <c r="D112" s="35"/>
      <c r="E112" s="36"/>
      <c r="F112" s="36"/>
      <c r="G112" s="36"/>
      <c r="H112" s="37"/>
      <c r="I112" s="35">
        <f t="shared" si="80"/>
        <v>18750</v>
      </c>
      <c r="J112" s="39"/>
      <c r="K112" s="39"/>
      <c r="L112" s="39">
        <v>18750</v>
      </c>
      <c r="M112" s="37"/>
      <c r="N112" s="35">
        <f t="shared" si="75"/>
        <v>0</v>
      </c>
      <c r="O112" s="36"/>
      <c r="P112" s="36"/>
      <c r="Q112" s="36"/>
      <c r="R112" s="37"/>
      <c r="S112" s="29">
        <f t="shared" si="68"/>
        <v>0</v>
      </c>
      <c r="T112" s="30" t="str">
        <f t="shared" si="69"/>
        <v xml:space="preserve"> </v>
      </c>
      <c r="U112" s="30" t="str">
        <f t="shared" si="70"/>
        <v xml:space="preserve"> </v>
      </c>
      <c r="V112" s="30">
        <f t="shared" si="71"/>
        <v>0</v>
      </c>
      <c r="W112" s="30" t="str">
        <f t="shared" si="71"/>
        <v xml:space="preserve"> </v>
      </c>
    </row>
    <row r="113" spans="1:23" ht="57.75" customHeight="1" x14ac:dyDescent="0.2">
      <c r="A113" s="74"/>
      <c r="B113" s="75"/>
      <c r="C113" s="42" t="s">
        <v>286</v>
      </c>
      <c r="D113" s="35"/>
      <c r="E113" s="36"/>
      <c r="F113" s="36"/>
      <c r="G113" s="36"/>
      <c r="H113" s="37"/>
      <c r="I113" s="35">
        <f t="shared" si="80"/>
        <v>35590</v>
      </c>
      <c r="J113" s="39"/>
      <c r="K113" s="39"/>
      <c r="L113" s="39">
        <v>35590</v>
      </c>
      <c r="M113" s="37"/>
      <c r="N113" s="35">
        <f t="shared" si="75"/>
        <v>35590</v>
      </c>
      <c r="O113" s="36"/>
      <c r="P113" s="36"/>
      <c r="Q113" s="39">
        <v>35590</v>
      </c>
      <c r="R113" s="37"/>
      <c r="S113" s="29">
        <f t="shared" si="68"/>
        <v>1</v>
      </c>
      <c r="T113" s="30" t="str">
        <f t="shared" si="69"/>
        <v xml:space="preserve"> </v>
      </c>
      <c r="U113" s="30" t="str">
        <f t="shared" si="70"/>
        <v xml:space="preserve"> </v>
      </c>
      <c r="V113" s="30">
        <f t="shared" si="71"/>
        <v>1</v>
      </c>
      <c r="W113" s="30" t="str">
        <f t="shared" si="71"/>
        <v xml:space="preserve"> </v>
      </c>
    </row>
    <row r="114" spans="1:23" s="38" customFormat="1" ht="48.75" customHeight="1" x14ac:dyDescent="0.2">
      <c r="A114" s="72"/>
      <c r="B114" s="76"/>
      <c r="C114" s="40" t="s">
        <v>287</v>
      </c>
      <c r="D114" s="5"/>
      <c r="E114" s="6"/>
      <c r="F114" s="6"/>
      <c r="G114" s="6"/>
      <c r="H114" s="7"/>
      <c r="I114" s="5">
        <f>SUM(J114:M114)</f>
        <v>4262375.0999999996</v>
      </c>
      <c r="J114" s="6">
        <f>SUM(J115:J121)</f>
        <v>0</v>
      </c>
      <c r="K114" s="6">
        <f>SUM(K115:K121)</f>
        <v>4245525.8</v>
      </c>
      <c r="L114" s="6">
        <f>SUM(L115:L121)</f>
        <v>16849.3</v>
      </c>
      <c r="M114" s="7">
        <f>SUM(M115:M120)</f>
        <v>0</v>
      </c>
      <c r="N114" s="5">
        <f t="shared" si="75"/>
        <v>4194390.2469999995</v>
      </c>
      <c r="O114" s="6">
        <f>SUM(O115:O121)</f>
        <v>0</v>
      </c>
      <c r="P114" s="6">
        <f>SUM(P115:P121)</f>
        <v>4183541.0889999997</v>
      </c>
      <c r="Q114" s="6">
        <f>SUM(Q115:Q121)</f>
        <v>10849.157999999999</v>
      </c>
      <c r="R114" s="7">
        <f>SUM(R115:R120)</f>
        <v>0</v>
      </c>
      <c r="S114" s="26">
        <f t="shared" si="68"/>
        <v>0.98405000700196466</v>
      </c>
      <c r="T114" s="27" t="str">
        <f t="shared" si="69"/>
        <v xml:space="preserve"> </v>
      </c>
      <c r="U114" s="27">
        <f t="shared" si="70"/>
        <v>0.98539999191619565</v>
      </c>
      <c r="V114" s="27">
        <f t="shared" si="71"/>
        <v>0.64389369291305865</v>
      </c>
      <c r="W114" s="27" t="str">
        <f t="shared" si="71"/>
        <v xml:space="preserve"> </v>
      </c>
    </row>
    <row r="115" spans="1:23" ht="39" customHeight="1" x14ac:dyDescent="0.2">
      <c r="A115" s="74"/>
      <c r="B115" s="75"/>
      <c r="C115" s="41" t="s">
        <v>288</v>
      </c>
      <c r="D115" s="35"/>
      <c r="E115" s="36"/>
      <c r="F115" s="36"/>
      <c r="G115" s="36"/>
      <c r="H115" s="37"/>
      <c r="I115" s="35">
        <f>SUM(J115:M115)</f>
        <v>1103634.5</v>
      </c>
      <c r="J115" s="36"/>
      <c r="K115" s="39">
        <v>1103634.5</v>
      </c>
      <c r="L115" s="36"/>
      <c r="M115" s="37"/>
      <c r="N115" s="35">
        <f t="shared" si="75"/>
        <v>1103495.2339999999</v>
      </c>
      <c r="O115" s="36"/>
      <c r="P115" s="36">
        <v>1103495.2339999999</v>
      </c>
      <c r="Q115" s="36"/>
      <c r="R115" s="37"/>
      <c r="S115" s="29">
        <f t="shared" si="68"/>
        <v>0.99987381148378374</v>
      </c>
      <c r="T115" s="30" t="str">
        <f t="shared" si="69"/>
        <v xml:space="preserve"> </v>
      </c>
      <c r="U115" s="30">
        <f t="shared" si="70"/>
        <v>0.99987381148378374</v>
      </c>
      <c r="V115" s="30" t="str">
        <f t="shared" si="71"/>
        <v xml:space="preserve"> </v>
      </c>
      <c r="W115" s="30" t="str">
        <f t="shared" si="71"/>
        <v xml:space="preserve"> </v>
      </c>
    </row>
    <row r="116" spans="1:23" ht="39" customHeight="1" x14ac:dyDescent="0.2">
      <c r="A116" s="74"/>
      <c r="B116" s="75"/>
      <c r="C116" s="45" t="s">
        <v>289</v>
      </c>
      <c r="D116" s="35"/>
      <c r="E116" s="36"/>
      <c r="F116" s="36"/>
      <c r="G116" s="36"/>
      <c r="H116" s="37"/>
      <c r="I116" s="35">
        <f t="shared" si="79"/>
        <v>29180.5</v>
      </c>
      <c r="J116" s="36"/>
      <c r="K116" s="39">
        <v>29180.5</v>
      </c>
      <c r="L116" s="36"/>
      <c r="M116" s="37"/>
      <c r="N116" s="35">
        <f t="shared" si="75"/>
        <v>767.82899999999995</v>
      </c>
      <c r="O116" s="36"/>
      <c r="P116" s="36">
        <v>767.82899999999995</v>
      </c>
      <c r="Q116" s="36"/>
      <c r="R116" s="37"/>
      <c r="S116" s="29">
        <f t="shared" si="68"/>
        <v>2.6313085793595037E-2</v>
      </c>
      <c r="T116" s="30" t="str">
        <f t="shared" si="69"/>
        <v xml:space="preserve"> </v>
      </c>
      <c r="U116" s="30">
        <f t="shared" si="70"/>
        <v>2.6313085793595037E-2</v>
      </c>
      <c r="V116" s="30" t="str">
        <f t="shared" si="71"/>
        <v xml:space="preserve"> </v>
      </c>
      <c r="W116" s="30" t="str">
        <f t="shared" si="71"/>
        <v xml:space="preserve"> </v>
      </c>
    </row>
    <row r="117" spans="1:23" ht="39" customHeight="1" x14ac:dyDescent="0.2">
      <c r="A117" s="74"/>
      <c r="B117" s="75"/>
      <c r="C117" s="45" t="s">
        <v>290</v>
      </c>
      <c r="D117" s="35"/>
      <c r="E117" s="36"/>
      <c r="F117" s="36"/>
      <c r="G117" s="36"/>
      <c r="H117" s="37"/>
      <c r="I117" s="35">
        <f>SUM(J117:M117)</f>
        <v>6000</v>
      </c>
      <c r="J117" s="36"/>
      <c r="K117" s="39"/>
      <c r="L117" s="39">
        <v>6000</v>
      </c>
      <c r="M117" s="37"/>
      <c r="N117" s="35">
        <f t="shared" si="75"/>
        <v>0</v>
      </c>
      <c r="O117" s="36"/>
      <c r="P117" s="36">
        <v>0</v>
      </c>
      <c r="Q117" s="36"/>
      <c r="R117" s="37"/>
      <c r="S117" s="29">
        <f t="shared" si="68"/>
        <v>0</v>
      </c>
      <c r="T117" s="30" t="str">
        <f t="shared" si="69"/>
        <v xml:space="preserve"> </v>
      </c>
      <c r="U117" s="30" t="str">
        <f t="shared" si="70"/>
        <v xml:space="preserve"> </v>
      </c>
      <c r="V117" s="30">
        <f t="shared" si="71"/>
        <v>0</v>
      </c>
      <c r="W117" s="30" t="str">
        <f t="shared" si="71"/>
        <v xml:space="preserve"> </v>
      </c>
    </row>
    <row r="118" spans="1:23" ht="39" customHeight="1" x14ac:dyDescent="0.2">
      <c r="A118" s="74"/>
      <c r="B118" s="75"/>
      <c r="C118" s="45" t="s">
        <v>291</v>
      </c>
      <c r="D118" s="35"/>
      <c r="E118" s="36"/>
      <c r="F118" s="36"/>
      <c r="G118" s="36"/>
      <c r="H118" s="37"/>
      <c r="I118" s="35">
        <f>SUM(J118:M118)</f>
        <v>19186.2</v>
      </c>
      <c r="J118" s="36"/>
      <c r="K118" s="39">
        <f>25186.2-6000</f>
        <v>19186.2</v>
      </c>
      <c r="L118" s="39"/>
      <c r="M118" s="37"/>
      <c r="N118" s="35">
        <f t="shared" si="75"/>
        <v>0</v>
      </c>
      <c r="O118" s="36"/>
      <c r="P118" s="36">
        <v>0</v>
      </c>
      <c r="Q118" s="36"/>
      <c r="R118" s="37"/>
      <c r="S118" s="29">
        <f t="shared" si="68"/>
        <v>0</v>
      </c>
      <c r="T118" s="30" t="str">
        <f t="shared" si="69"/>
        <v xml:space="preserve"> </v>
      </c>
      <c r="U118" s="30">
        <f t="shared" si="70"/>
        <v>0</v>
      </c>
      <c r="V118" s="30" t="str">
        <f t="shared" si="71"/>
        <v xml:space="preserve"> </v>
      </c>
      <c r="W118" s="30" t="str">
        <f t="shared" si="71"/>
        <v xml:space="preserve"> </v>
      </c>
    </row>
    <row r="119" spans="1:23" ht="39" customHeight="1" x14ac:dyDescent="0.2">
      <c r="A119" s="74"/>
      <c r="B119" s="75"/>
      <c r="C119" s="41" t="s">
        <v>292</v>
      </c>
      <c r="D119" s="35"/>
      <c r="E119" s="36"/>
      <c r="F119" s="36"/>
      <c r="G119" s="36"/>
      <c r="H119" s="37"/>
      <c r="I119" s="35">
        <f t="shared" ref="I119:I120" si="81">SUM(J119:M119)</f>
        <v>2673464</v>
      </c>
      <c r="J119" s="36"/>
      <c r="K119" s="39">
        <v>2673464</v>
      </c>
      <c r="L119" s="36"/>
      <c r="M119" s="37"/>
      <c r="N119" s="35">
        <f t="shared" si="75"/>
        <v>2665384.7659999998</v>
      </c>
      <c r="O119" s="36"/>
      <c r="P119" s="36">
        <v>2665384.7659999998</v>
      </c>
      <c r="Q119" s="36"/>
      <c r="R119" s="37"/>
      <c r="S119" s="29">
        <f t="shared" si="68"/>
        <v>0.99697799035259116</v>
      </c>
      <c r="T119" s="30" t="str">
        <f t="shared" si="69"/>
        <v xml:space="preserve"> </v>
      </c>
      <c r="U119" s="30">
        <f t="shared" si="70"/>
        <v>0.99697799035259116</v>
      </c>
      <c r="V119" s="30" t="str">
        <f t="shared" si="71"/>
        <v xml:space="preserve"> </v>
      </c>
      <c r="W119" s="30" t="str">
        <f t="shared" si="71"/>
        <v xml:space="preserve"> </v>
      </c>
    </row>
    <row r="120" spans="1:23" ht="39" customHeight="1" x14ac:dyDescent="0.2">
      <c r="A120" s="74"/>
      <c r="B120" s="75"/>
      <c r="C120" s="45" t="s">
        <v>293</v>
      </c>
      <c r="D120" s="35"/>
      <c r="E120" s="36"/>
      <c r="F120" s="36"/>
      <c r="G120" s="36"/>
      <c r="H120" s="37"/>
      <c r="I120" s="35">
        <f t="shared" si="81"/>
        <v>420060.59999999986</v>
      </c>
      <c r="J120" s="36"/>
      <c r="K120" s="39">
        <v>420060.59999999986</v>
      </c>
      <c r="L120" s="36"/>
      <c r="M120" s="37"/>
      <c r="N120" s="35">
        <f t="shared" si="75"/>
        <v>413893.26</v>
      </c>
      <c r="O120" s="36"/>
      <c r="P120" s="36">
        <v>413893.26</v>
      </c>
      <c r="Q120" s="36"/>
      <c r="R120" s="37"/>
      <c r="S120" s="29">
        <f t="shared" si="68"/>
        <v>0.9853179755492425</v>
      </c>
      <c r="T120" s="30" t="str">
        <f t="shared" si="69"/>
        <v xml:space="preserve"> </v>
      </c>
      <c r="U120" s="30">
        <f t="shared" si="70"/>
        <v>0.9853179755492425</v>
      </c>
      <c r="V120" s="30" t="str">
        <f t="shared" si="71"/>
        <v xml:space="preserve"> </v>
      </c>
      <c r="W120" s="30" t="str">
        <f t="shared" si="71"/>
        <v xml:space="preserve"> </v>
      </c>
    </row>
    <row r="121" spans="1:23" ht="39" customHeight="1" x14ac:dyDescent="0.2">
      <c r="A121" s="74"/>
      <c r="B121" s="75"/>
      <c r="C121" s="41" t="s">
        <v>294</v>
      </c>
      <c r="D121" s="35"/>
      <c r="E121" s="36"/>
      <c r="F121" s="36"/>
      <c r="G121" s="36"/>
      <c r="H121" s="37"/>
      <c r="I121" s="35">
        <f>SUM(J121:M121)</f>
        <v>10849.3</v>
      </c>
      <c r="J121" s="36"/>
      <c r="K121" s="39"/>
      <c r="L121" s="39">
        <v>10849.3</v>
      </c>
      <c r="M121" s="37"/>
      <c r="N121" s="35">
        <f t="shared" si="75"/>
        <v>10849.157999999999</v>
      </c>
      <c r="O121" s="36"/>
      <c r="P121" s="36"/>
      <c r="Q121" s="39">
        <v>10849.157999999999</v>
      </c>
      <c r="R121" s="37"/>
      <c r="S121" s="29">
        <f t="shared" si="68"/>
        <v>0.99998691159798325</v>
      </c>
      <c r="T121" s="30" t="str">
        <f t="shared" si="69"/>
        <v xml:space="preserve"> </v>
      </c>
      <c r="U121" s="30" t="str">
        <f t="shared" si="70"/>
        <v xml:space="preserve"> </v>
      </c>
      <c r="V121" s="30">
        <f t="shared" si="71"/>
        <v>0.99998691159798325</v>
      </c>
      <c r="W121" s="30" t="str">
        <f t="shared" si="71"/>
        <v xml:space="preserve"> </v>
      </c>
    </row>
    <row r="122" spans="1:23" s="38" customFormat="1" ht="48" customHeight="1" x14ac:dyDescent="0.2">
      <c r="A122" s="72"/>
      <c r="B122" s="76"/>
      <c r="C122" s="40" t="s">
        <v>295</v>
      </c>
      <c r="D122" s="5"/>
      <c r="E122" s="6"/>
      <c r="F122" s="6"/>
      <c r="G122" s="6"/>
      <c r="H122" s="7"/>
      <c r="I122" s="5">
        <f>SUM(J122:M122)</f>
        <v>671821</v>
      </c>
      <c r="J122" s="6">
        <f>SUM(J123:J126)</f>
        <v>0</v>
      </c>
      <c r="K122" s="6">
        <f>SUM(K123:K126)</f>
        <v>662757.4</v>
      </c>
      <c r="L122" s="6">
        <f t="shared" ref="L122" si="82">SUM(L123:L126)</f>
        <v>9063.6</v>
      </c>
      <c r="M122" s="7">
        <f>SUM(M123:M125)</f>
        <v>0</v>
      </c>
      <c r="N122" s="5">
        <f t="shared" si="75"/>
        <v>571828.38689999992</v>
      </c>
      <c r="O122" s="6">
        <f>SUM(O123:O126)</f>
        <v>0</v>
      </c>
      <c r="P122" s="6">
        <f>SUM(P123:P126)</f>
        <v>562764.78689999995</v>
      </c>
      <c r="Q122" s="6">
        <f t="shared" ref="Q122" si="83">SUM(Q123:Q126)</f>
        <v>9063.6</v>
      </c>
      <c r="R122" s="7">
        <f>SUM(R123:R125)</f>
        <v>0</v>
      </c>
      <c r="S122" s="26">
        <f t="shared" si="68"/>
        <v>0.85116182271765828</v>
      </c>
      <c r="T122" s="27" t="str">
        <f t="shared" si="69"/>
        <v xml:space="preserve"> </v>
      </c>
      <c r="U122" s="27">
        <f t="shared" si="70"/>
        <v>0.84912637248561829</v>
      </c>
      <c r="V122" s="27">
        <f t="shared" si="71"/>
        <v>1</v>
      </c>
      <c r="W122" s="27" t="str">
        <f t="shared" si="71"/>
        <v xml:space="preserve"> </v>
      </c>
    </row>
    <row r="123" spans="1:23" ht="58.5" customHeight="1" x14ac:dyDescent="0.2">
      <c r="A123" s="74"/>
      <c r="B123" s="75"/>
      <c r="C123" s="41" t="s">
        <v>296</v>
      </c>
      <c r="D123" s="35"/>
      <c r="E123" s="36"/>
      <c r="F123" s="36"/>
      <c r="G123" s="36"/>
      <c r="H123" s="37"/>
      <c r="I123" s="35">
        <f t="shared" si="79"/>
        <v>134826.20000000001</v>
      </c>
      <c r="J123" s="36"/>
      <c r="K123" s="39">
        <v>134826.20000000001</v>
      </c>
      <c r="L123" s="39"/>
      <c r="M123" s="37"/>
      <c r="N123" s="35">
        <f t="shared" si="75"/>
        <v>83917.55</v>
      </c>
      <c r="O123" s="36"/>
      <c r="P123" s="36">
        <v>83917.55</v>
      </c>
      <c r="Q123" s="39"/>
      <c r="R123" s="37"/>
      <c r="S123" s="29">
        <f t="shared" si="68"/>
        <v>0.62241278030531155</v>
      </c>
      <c r="T123" s="30" t="str">
        <f t="shared" si="69"/>
        <v xml:space="preserve"> </v>
      </c>
      <c r="U123" s="30">
        <f t="shared" si="70"/>
        <v>0.62241278030531155</v>
      </c>
      <c r="V123" s="30" t="str">
        <f t="shared" si="71"/>
        <v xml:space="preserve"> </v>
      </c>
      <c r="W123" s="30" t="str">
        <f t="shared" si="71"/>
        <v xml:space="preserve"> </v>
      </c>
    </row>
    <row r="124" spans="1:23" ht="44.25" customHeight="1" x14ac:dyDescent="0.2">
      <c r="A124" s="74"/>
      <c r="B124" s="75"/>
      <c r="C124" s="41" t="s">
        <v>297</v>
      </c>
      <c r="D124" s="35"/>
      <c r="E124" s="36"/>
      <c r="F124" s="36"/>
      <c r="G124" s="36"/>
      <c r="H124" s="37"/>
      <c r="I124" s="35">
        <f t="shared" si="79"/>
        <v>1212.3</v>
      </c>
      <c r="J124" s="36"/>
      <c r="K124" s="39">
        <v>1212.3</v>
      </c>
      <c r="L124" s="39"/>
      <c r="M124" s="37"/>
      <c r="N124" s="35">
        <f t="shared" si="75"/>
        <v>1212.2339999999999</v>
      </c>
      <c r="O124" s="36"/>
      <c r="P124" s="36">
        <v>1212.2339999999999</v>
      </c>
      <c r="Q124" s="36"/>
      <c r="R124" s="37"/>
      <c r="S124" s="29">
        <f t="shared" si="68"/>
        <v>0.99994555803019047</v>
      </c>
      <c r="T124" s="30" t="str">
        <f t="shared" si="69"/>
        <v xml:space="preserve"> </v>
      </c>
      <c r="U124" s="30">
        <f t="shared" si="70"/>
        <v>0.99994555803019047</v>
      </c>
      <c r="V124" s="30" t="str">
        <f t="shared" si="71"/>
        <v xml:space="preserve"> </v>
      </c>
      <c r="W124" s="30" t="str">
        <f t="shared" si="71"/>
        <v xml:space="preserve"> </v>
      </c>
    </row>
    <row r="125" spans="1:23" ht="58.5" customHeight="1" x14ac:dyDescent="0.2">
      <c r="A125" s="74"/>
      <c r="B125" s="75"/>
      <c r="C125" s="41" t="s">
        <v>298</v>
      </c>
      <c r="D125" s="35"/>
      <c r="E125" s="36"/>
      <c r="F125" s="36"/>
      <c r="G125" s="36"/>
      <c r="H125" s="37"/>
      <c r="I125" s="35">
        <f t="shared" si="79"/>
        <v>526718.9</v>
      </c>
      <c r="J125" s="36"/>
      <c r="K125" s="39">
        <v>526718.9</v>
      </c>
      <c r="L125" s="39"/>
      <c r="M125" s="37"/>
      <c r="N125" s="35">
        <f t="shared" si="75"/>
        <v>477635.00289999996</v>
      </c>
      <c r="O125" s="36"/>
      <c r="P125" s="36">
        <v>477635.00289999996</v>
      </c>
      <c r="Q125" s="36"/>
      <c r="R125" s="37"/>
      <c r="S125" s="29">
        <f t="shared" si="68"/>
        <v>0.90681196915470463</v>
      </c>
      <c r="T125" s="30" t="str">
        <f t="shared" si="69"/>
        <v xml:space="preserve"> </v>
      </c>
      <c r="U125" s="30">
        <f t="shared" si="70"/>
        <v>0.90681196915470463</v>
      </c>
      <c r="V125" s="30" t="str">
        <f t="shared" si="71"/>
        <v xml:space="preserve"> </v>
      </c>
      <c r="W125" s="30" t="str">
        <f t="shared" si="71"/>
        <v xml:space="preserve"> </v>
      </c>
    </row>
    <row r="126" spans="1:23" ht="45.75" customHeight="1" x14ac:dyDescent="0.2">
      <c r="A126" s="74"/>
      <c r="B126" s="75"/>
      <c r="C126" s="42" t="s">
        <v>299</v>
      </c>
      <c r="D126" s="35"/>
      <c r="E126" s="36"/>
      <c r="F126" s="36"/>
      <c r="G126" s="36"/>
      <c r="H126" s="37"/>
      <c r="I126" s="35">
        <f t="shared" si="79"/>
        <v>9063.6</v>
      </c>
      <c r="J126" s="36"/>
      <c r="K126" s="39"/>
      <c r="L126" s="39">
        <v>9063.6</v>
      </c>
      <c r="M126" s="37"/>
      <c r="N126" s="35">
        <f t="shared" si="75"/>
        <v>9063.6</v>
      </c>
      <c r="O126" s="36"/>
      <c r="P126" s="36"/>
      <c r="Q126" s="39">
        <v>9063.6</v>
      </c>
      <c r="R126" s="37"/>
      <c r="S126" s="29">
        <f t="shared" si="68"/>
        <v>1</v>
      </c>
      <c r="T126" s="30" t="str">
        <f t="shared" si="69"/>
        <v xml:space="preserve"> </v>
      </c>
      <c r="U126" s="30" t="str">
        <f t="shared" si="70"/>
        <v xml:space="preserve"> </v>
      </c>
      <c r="V126" s="30">
        <f t="shared" si="71"/>
        <v>1</v>
      </c>
      <c r="W126" s="30" t="str">
        <f t="shared" si="71"/>
        <v xml:space="preserve"> </v>
      </c>
    </row>
    <row r="127" spans="1:23" s="38" customFormat="1" ht="68.25" customHeight="1" x14ac:dyDescent="0.2">
      <c r="A127" s="72"/>
      <c r="B127" s="76"/>
      <c r="C127" s="40" t="s">
        <v>300</v>
      </c>
      <c r="D127" s="5"/>
      <c r="E127" s="6"/>
      <c r="F127" s="6"/>
      <c r="G127" s="6"/>
      <c r="H127" s="7"/>
      <c r="I127" s="5">
        <f>SUM(J127:M127)</f>
        <v>35104.400000000001</v>
      </c>
      <c r="J127" s="6">
        <f>SUM(J128:J129)</f>
        <v>0</v>
      </c>
      <c r="K127" s="6">
        <f t="shared" ref="K127:L127" si="84">SUM(K128:K129)</f>
        <v>0</v>
      </c>
      <c r="L127" s="6">
        <f t="shared" si="84"/>
        <v>35104.400000000001</v>
      </c>
      <c r="M127" s="7">
        <f>SUM(M128:M129)</f>
        <v>0</v>
      </c>
      <c r="N127" s="5">
        <f t="shared" si="75"/>
        <v>28103.197</v>
      </c>
      <c r="O127" s="6">
        <f>SUM(O128:O129)</f>
        <v>0</v>
      </c>
      <c r="P127" s="6">
        <f t="shared" ref="P127:Q127" si="85">SUM(P128:P129)</f>
        <v>0</v>
      </c>
      <c r="Q127" s="6">
        <f t="shared" si="85"/>
        <v>28103.197</v>
      </c>
      <c r="R127" s="7">
        <f>SUM(R128:R129)</f>
        <v>0</v>
      </c>
      <c r="S127" s="26">
        <f t="shared" si="68"/>
        <v>0.8005605280249769</v>
      </c>
      <c r="T127" s="27" t="str">
        <f t="shared" si="69"/>
        <v xml:space="preserve"> </v>
      </c>
      <c r="U127" s="27" t="str">
        <f t="shared" si="70"/>
        <v xml:space="preserve"> </v>
      </c>
      <c r="V127" s="27">
        <f t="shared" si="71"/>
        <v>0.8005605280249769</v>
      </c>
      <c r="W127" s="27" t="str">
        <f t="shared" si="71"/>
        <v xml:space="preserve"> </v>
      </c>
    </row>
    <row r="128" spans="1:23" ht="79.5" customHeight="1" x14ac:dyDescent="0.2">
      <c r="A128" s="74"/>
      <c r="B128" s="75"/>
      <c r="C128" s="45" t="s">
        <v>301</v>
      </c>
      <c r="D128" s="35"/>
      <c r="E128" s="36"/>
      <c r="F128" s="36"/>
      <c r="G128" s="36"/>
      <c r="H128" s="37"/>
      <c r="I128" s="35">
        <f t="shared" ref="I128:I129" si="86">SUM(J128:M128)</f>
        <v>24540</v>
      </c>
      <c r="J128" s="36"/>
      <c r="K128" s="39"/>
      <c r="L128" s="39">
        <v>24540</v>
      </c>
      <c r="M128" s="37"/>
      <c r="N128" s="35">
        <f t="shared" si="75"/>
        <v>17780.651000000002</v>
      </c>
      <c r="O128" s="36"/>
      <c r="P128" s="36"/>
      <c r="Q128" s="36">
        <v>17780.651000000002</v>
      </c>
      <c r="R128" s="37"/>
      <c r="S128" s="29">
        <f t="shared" si="68"/>
        <v>0.72455790546047272</v>
      </c>
      <c r="T128" s="30" t="str">
        <f t="shared" si="69"/>
        <v xml:space="preserve"> </v>
      </c>
      <c r="U128" s="30" t="str">
        <f t="shared" si="70"/>
        <v xml:space="preserve"> </v>
      </c>
      <c r="V128" s="30">
        <f t="shared" si="71"/>
        <v>0.72455790546047272</v>
      </c>
      <c r="W128" s="30" t="str">
        <f t="shared" si="71"/>
        <v xml:space="preserve"> </v>
      </c>
    </row>
    <row r="129" spans="1:23" ht="43.5" customHeight="1" x14ac:dyDescent="0.2">
      <c r="A129" s="74"/>
      <c r="B129" s="75"/>
      <c r="C129" s="45" t="s">
        <v>302</v>
      </c>
      <c r="D129" s="35"/>
      <c r="E129" s="36"/>
      <c r="F129" s="36"/>
      <c r="G129" s="36"/>
      <c r="H129" s="37"/>
      <c r="I129" s="35">
        <f t="shared" si="86"/>
        <v>10564.4</v>
      </c>
      <c r="J129" s="36"/>
      <c r="K129" s="39"/>
      <c r="L129" s="39">
        <v>10564.4</v>
      </c>
      <c r="M129" s="37"/>
      <c r="N129" s="35">
        <f t="shared" si="75"/>
        <v>10322.546</v>
      </c>
      <c r="O129" s="36"/>
      <c r="P129" s="36"/>
      <c r="Q129" s="36">
        <v>10322.546</v>
      </c>
      <c r="R129" s="37"/>
      <c r="S129" s="29">
        <f t="shared" si="68"/>
        <v>0.97710669796675631</v>
      </c>
      <c r="T129" s="30" t="str">
        <f t="shared" si="69"/>
        <v xml:space="preserve"> </v>
      </c>
      <c r="U129" s="30" t="str">
        <f t="shared" si="70"/>
        <v xml:space="preserve"> </v>
      </c>
      <c r="V129" s="30">
        <f t="shared" si="71"/>
        <v>0.97710669796675631</v>
      </c>
      <c r="W129" s="30" t="str">
        <f t="shared" si="71"/>
        <v xml:space="preserve"> </v>
      </c>
    </row>
    <row r="130" spans="1:23" s="38" customFormat="1" ht="43.5" customHeight="1" x14ac:dyDescent="0.2">
      <c r="A130" s="72"/>
      <c r="B130" s="76"/>
      <c r="C130" s="40" t="s">
        <v>836</v>
      </c>
      <c r="D130" s="5"/>
      <c r="E130" s="6"/>
      <c r="F130" s="6"/>
      <c r="G130" s="6"/>
      <c r="H130" s="7"/>
      <c r="I130" s="5">
        <f>SUM(J130:M130)</f>
        <v>23300</v>
      </c>
      <c r="J130" s="6">
        <f>SUM(J131)</f>
        <v>0</v>
      </c>
      <c r="K130" s="6">
        <f t="shared" ref="K130:L130" si="87">SUM(K131)</f>
        <v>23300</v>
      </c>
      <c r="L130" s="6">
        <f t="shared" si="87"/>
        <v>0</v>
      </c>
      <c r="M130" s="7">
        <f t="shared" ref="M130:R130" si="88">SUM(M131)</f>
        <v>0</v>
      </c>
      <c r="N130" s="5">
        <f t="shared" si="75"/>
        <v>23300</v>
      </c>
      <c r="O130" s="6">
        <f t="shared" si="88"/>
        <v>0</v>
      </c>
      <c r="P130" s="6">
        <f t="shared" si="88"/>
        <v>23300</v>
      </c>
      <c r="Q130" s="6">
        <f t="shared" si="88"/>
        <v>0</v>
      </c>
      <c r="R130" s="7">
        <f t="shared" si="88"/>
        <v>0</v>
      </c>
      <c r="S130" s="26">
        <f t="shared" si="68"/>
        <v>1</v>
      </c>
      <c r="T130" s="27" t="str">
        <f t="shared" si="69"/>
        <v xml:space="preserve"> </v>
      </c>
      <c r="U130" s="27">
        <f t="shared" si="70"/>
        <v>1</v>
      </c>
      <c r="V130" s="27" t="str">
        <f t="shared" si="71"/>
        <v xml:space="preserve"> </v>
      </c>
      <c r="W130" s="27" t="str">
        <f t="shared" si="71"/>
        <v xml:space="preserve"> </v>
      </c>
    </row>
    <row r="131" spans="1:23" ht="42" customHeight="1" x14ac:dyDescent="0.2">
      <c r="A131" s="74"/>
      <c r="B131" s="75"/>
      <c r="C131" s="45" t="s">
        <v>303</v>
      </c>
      <c r="D131" s="35"/>
      <c r="E131" s="36"/>
      <c r="F131" s="36"/>
      <c r="G131" s="36"/>
      <c r="H131" s="37"/>
      <c r="I131" s="35">
        <f t="shared" si="79"/>
        <v>23300</v>
      </c>
      <c r="J131" s="36"/>
      <c r="K131" s="39">
        <v>23300</v>
      </c>
      <c r="L131" s="36"/>
      <c r="M131" s="37"/>
      <c r="N131" s="35">
        <f t="shared" si="75"/>
        <v>23300</v>
      </c>
      <c r="O131" s="36"/>
      <c r="P131" s="39">
        <v>23300</v>
      </c>
      <c r="Q131" s="36"/>
      <c r="R131" s="37"/>
      <c r="S131" s="29">
        <f t="shared" si="68"/>
        <v>1</v>
      </c>
      <c r="T131" s="30" t="str">
        <f t="shared" si="69"/>
        <v xml:space="preserve"> </v>
      </c>
      <c r="U131" s="30">
        <f t="shared" si="70"/>
        <v>1</v>
      </c>
      <c r="V131" s="30" t="str">
        <f t="shared" si="71"/>
        <v xml:space="preserve"> </v>
      </c>
      <c r="W131" s="30" t="str">
        <f t="shared" si="71"/>
        <v xml:space="preserve"> </v>
      </c>
    </row>
    <row r="132" spans="1:23" s="38" customFormat="1" ht="41.25" customHeight="1" x14ac:dyDescent="0.2">
      <c r="A132" s="72"/>
      <c r="B132" s="76"/>
      <c r="C132" s="40" t="s">
        <v>304</v>
      </c>
      <c r="D132" s="5"/>
      <c r="E132" s="6"/>
      <c r="F132" s="6"/>
      <c r="G132" s="6"/>
      <c r="H132" s="7"/>
      <c r="I132" s="5">
        <f>SUM(J132:M132)</f>
        <v>4569.6000000000004</v>
      </c>
      <c r="J132" s="6">
        <f>SUM(J133:J133)</f>
        <v>0</v>
      </c>
      <c r="K132" s="6">
        <f>SUM(K133:K133)</f>
        <v>0</v>
      </c>
      <c r="L132" s="6">
        <f>SUM(L133:L133)</f>
        <v>4569.6000000000004</v>
      </c>
      <c r="M132" s="7">
        <f>SUM(M133:M133)</f>
        <v>0</v>
      </c>
      <c r="N132" s="5">
        <f t="shared" si="75"/>
        <v>3198.72</v>
      </c>
      <c r="O132" s="6">
        <f>SUM(O133:O133)</f>
        <v>0</v>
      </c>
      <c r="P132" s="6">
        <f>SUM(P133:P133)</f>
        <v>0</v>
      </c>
      <c r="Q132" s="6">
        <f>SUM(Q133:Q133)</f>
        <v>3198.72</v>
      </c>
      <c r="R132" s="7">
        <f>SUM(R133:R133)</f>
        <v>0</v>
      </c>
      <c r="S132" s="26">
        <f t="shared" si="68"/>
        <v>0.7</v>
      </c>
      <c r="T132" s="27" t="str">
        <f t="shared" si="69"/>
        <v xml:space="preserve"> </v>
      </c>
      <c r="U132" s="27" t="str">
        <f t="shared" si="70"/>
        <v xml:space="preserve"> </v>
      </c>
      <c r="V132" s="27">
        <f t="shared" si="71"/>
        <v>0.7</v>
      </c>
      <c r="W132" s="27" t="str">
        <f t="shared" si="71"/>
        <v xml:space="preserve"> </v>
      </c>
    </row>
    <row r="133" spans="1:23" ht="43.5" customHeight="1" x14ac:dyDescent="0.2">
      <c r="A133" s="74"/>
      <c r="B133" s="75"/>
      <c r="C133" s="42" t="s">
        <v>305</v>
      </c>
      <c r="D133" s="35"/>
      <c r="E133" s="36"/>
      <c r="F133" s="36"/>
      <c r="G133" s="36"/>
      <c r="H133" s="37"/>
      <c r="I133" s="35">
        <f>SUM(J133:M133)</f>
        <v>4569.6000000000004</v>
      </c>
      <c r="J133" s="36"/>
      <c r="K133" s="39"/>
      <c r="L133" s="39">
        <v>4569.6000000000004</v>
      </c>
      <c r="M133" s="37"/>
      <c r="N133" s="35">
        <f t="shared" si="75"/>
        <v>3198.72</v>
      </c>
      <c r="O133" s="36"/>
      <c r="P133" s="36"/>
      <c r="Q133" s="36">
        <v>3198.72</v>
      </c>
      <c r="R133" s="37"/>
      <c r="S133" s="29">
        <f t="shared" si="68"/>
        <v>0.7</v>
      </c>
      <c r="T133" s="30" t="str">
        <f t="shared" si="69"/>
        <v xml:space="preserve"> </v>
      </c>
      <c r="U133" s="30" t="str">
        <f t="shared" si="70"/>
        <v xml:space="preserve"> </v>
      </c>
      <c r="V133" s="30">
        <f t="shared" si="71"/>
        <v>0.7</v>
      </c>
      <c r="W133" s="30" t="str">
        <f t="shared" si="71"/>
        <v xml:space="preserve"> </v>
      </c>
    </row>
    <row r="134" spans="1:23" s="38" customFormat="1" ht="43.5" customHeight="1" x14ac:dyDescent="0.2">
      <c r="A134" s="72"/>
      <c r="B134" s="76"/>
      <c r="C134" s="40" t="s">
        <v>306</v>
      </c>
      <c r="D134" s="5"/>
      <c r="E134" s="6"/>
      <c r="F134" s="6"/>
      <c r="G134" s="6"/>
      <c r="H134" s="7"/>
      <c r="I134" s="5">
        <f>SUM(J134:M134)</f>
        <v>22147.200000000001</v>
      </c>
      <c r="J134" s="6">
        <f>SUM(J135:J135)</f>
        <v>0</v>
      </c>
      <c r="K134" s="6">
        <f>SUM(K135:K135)</f>
        <v>22147.200000000001</v>
      </c>
      <c r="L134" s="6">
        <f>SUM(L135:L135)</f>
        <v>0</v>
      </c>
      <c r="M134" s="7">
        <f>SUM(M135:M135)</f>
        <v>0</v>
      </c>
      <c r="N134" s="5">
        <f t="shared" si="75"/>
        <v>22147.100999999999</v>
      </c>
      <c r="O134" s="6">
        <f>SUM(O135:O135)</f>
        <v>0</v>
      </c>
      <c r="P134" s="6">
        <f>SUM(P135:P135)</f>
        <v>22147.100999999999</v>
      </c>
      <c r="Q134" s="6">
        <f>SUM(Q135:Q135)</f>
        <v>0</v>
      </c>
      <c r="R134" s="7">
        <f>SUM(R135:R135)</f>
        <v>0</v>
      </c>
      <c r="S134" s="26">
        <f t="shared" si="68"/>
        <v>0.99999552990897256</v>
      </c>
      <c r="T134" s="27" t="str">
        <f t="shared" si="69"/>
        <v xml:space="preserve"> </v>
      </c>
      <c r="U134" s="27">
        <f t="shared" si="70"/>
        <v>0.99999552990897256</v>
      </c>
      <c r="V134" s="27" t="str">
        <f t="shared" si="71"/>
        <v xml:space="preserve"> </v>
      </c>
      <c r="W134" s="27" t="str">
        <f t="shared" si="71"/>
        <v xml:space="preserve"> </v>
      </c>
    </row>
    <row r="135" spans="1:23" ht="39" customHeight="1" x14ac:dyDescent="0.2">
      <c r="A135" s="74"/>
      <c r="B135" s="75"/>
      <c r="C135" s="45" t="s">
        <v>307</v>
      </c>
      <c r="D135" s="35"/>
      <c r="E135" s="36"/>
      <c r="F135" s="36"/>
      <c r="G135" s="36"/>
      <c r="H135" s="37"/>
      <c r="I135" s="35">
        <f t="shared" si="79"/>
        <v>22147.200000000001</v>
      </c>
      <c r="J135" s="36"/>
      <c r="K135" s="39">
        <v>22147.200000000001</v>
      </c>
      <c r="L135" s="36"/>
      <c r="M135" s="37"/>
      <c r="N135" s="35">
        <f t="shared" si="75"/>
        <v>22147.100999999999</v>
      </c>
      <c r="O135" s="36"/>
      <c r="P135" s="36">
        <v>22147.100999999999</v>
      </c>
      <c r="Q135" s="36"/>
      <c r="R135" s="37"/>
      <c r="S135" s="29">
        <f t="shared" si="68"/>
        <v>0.99999552990897256</v>
      </c>
      <c r="T135" s="30" t="str">
        <f t="shared" si="69"/>
        <v xml:space="preserve"> </v>
      </c>
      <c r="U135" s="30">
        <f t="shared" si="70"/>
        <v>0.99999552990897256</v>
      </c>
      <c r="V135" s="30" t="str">
        <f t="shared" si="71"/>
        <v xml:space="preserve"> </v>
      </c>
      <c r="W135" s="30" t="str">
        <f t="shared" si="71"/>
        <v xml:space="preserve"> </v>
      </c>
    </row>
    <row r="136" spans="1:23" s="38" customFormat="1" ht="34.5" customHeight="1" x14ac:dyDescent="0.2">
      <c r="A136" s="72"/>
      <c r="B136" s="76"/>
      <c r="C136" s="40" t="s">
        <v>308</v>
      </c>
      <c r="D136" s="5"/>
      <c r="E136" s="6"/>
      <c r="F136" s="6"/>
      <c r="G136" s="6"/>
      <c r="H136" s="7"/>
      <c r="I136" s="5">
        <f>SUM(J136:M136)</f>
        <v>1580228.2</v>
      </c>
      <c r="J136" s="6">
        <f>SUM(J137:J141)</f>
        <v>0</v>
      </c>
      <c r="K136" s="6">
        <f>SUM(K137:K141)</f>
        <v>1548542.2</v>
      </c>
      <c r="L136" s="6">
        <f>SUM(L137:L141)</f>
        <v>31686</v>
      </c>
      <c r="M136" s="7">
        <f>SUM(M137:M141)</f>
        <v>0</v>
      </c>
      <c r="N136" s="5">
        <f t="shared" si="75"/>
        <v>1519356.4880000001</v>
      </c>
      <c r="O136" s="6">
        <f>SUM(O137:O141)</f>
        <v>0</v>
      </c>
      <c r="P136" s="6">
        <f>SUM(P137:P141)</f>
        <v>1488685.077</v>
      </c>
      <c r="Q136" s="6">
        <f>SUM(Q137:Q141)</f>
        <v>30671.411</v>
      </c>
      <c r="R136" s="7">
        <f>SUM(R137:R141)</f>
        <v>0</v>
      </c>
      <c r="S136" s="26">
        <f t="shared" si="68"/>
        <v>0.96147916357903251</v>
      </c>
      <c r="T136" s="27" t="str">
        <f t="shared" si="69"/>
        <v xml:space="preserve"> </v>
      </c>
      <c r="U136" s="27">
        <f t="shared" si="70"/>
        <v>0.96134614671786156</v>
      </c>
      <c r="V136" s="27">
        <f t="shared" si="71"/>
        <v>0.96797989648425176</v>
      </c>
      <c r="W136" s="27" t="str">
        <f t="shared" si="71"/>
        <v xml:space="preserve"> </v>
      </c>
    </row>
    <row r="137" spans="1:23" ht="44.25" customHeight="1" x14ac:dyDescent="0.2">
      <c r="A137" s="74"/>
      <c r="B137" s="75"/>
      <c r="C137" s="45" t="s">
        <v>309</v>
      </c>
      <c r="D137" s="35"/>
      <c r="E137" s="36"/>
      <c r="F137" s="36"/>
      <c r="G137" s="36"/>
      <c r="H137" s="37"/>
      <c r="I137" s="35">
        <f t="shared" si="79"/>
        <v>3357.2</v>
      </c>
      <c r="J137" s="36"/>
      <c r="K137" s="39">
        <v>3357.2</v>
      </c>
      <c r="L137" s="36"/>
      <c r="M137" s="37"/>
      <c r="N137" s="35">
        <f t="shared" si="75"/>
        <v>3357.1959999999999</v>
      </c>
      <c r="O137" s="36"/>
      <c r="P137" s="36">
        <v>3357.1959999999999</v>
      </c>
      <c r="Q137" s="36"/>
      <c r="R137" s="37"/>
      <c r="S137" s="29">
        <f t="shared" si="68"/>
        <v>0.9999988085309186</v>
      </c>
      <c r="T137" s="30" t="str">
        <f t="shared" si="69"/>
        <v xml:space="preserve"> </v>
      </c>
      <c r="U137" s="30">
        <f t="shared" si="70"/>
        <v>0.9999988085309186</v>
      </c>
      <c r="V137" s="30" t="str">
        <f t="shared" si="71"/>
        <v xml:space="preserve"> </v>
      </c>
      <c r="W137" s="30" t="str">
        <f t="shared" si="71"/>
        <v xml:space="preserve"> </v>
      </c>
    </row>
    <row r="138" spans="1:23" ht="42.75" customHeight="1" x14ac:dyDescent="0.2">
      <c r="A138" s="74"/>
      <c r="B138" s="75"/>
      <c r="C138" s="45" t="s">
        <v>310</v>
      </c>
      <c r="D138" s="35"/>
      <c r="E138" s="36"/>
      <c r="F138" s="36"/>
      <c r="G138" s="36"/>
      <c r="H138" s="37"/>
      <c r="I138" s="35">
        <f t="shared" si="79"/>
        <v>1484269.5</v>
      </c>
      <c r="J138" s="36"/>
      <c r="K138" s="39">
        <v>1484269.5</v>
      </c>
      <c r="L138" s="36"/>
      <c r="M138" s="37"/>
      <c r="N138" s="35">
        <f t="shared" si="75"/>
        <v>1439155.5919999999</v>
      </c>
      <c r="O138" s="36"/>
      <c r="P138" s="36">
        <v>1439155.5919999999</v>
      </c>
      <c r="Q138" s="36"/>
      <c r="R138" s="37"/>
      <c r="S138" s="29">
        <f t="shared" si="68"/>
        <v>0.96960531224282376</v>
      </c>
      <c r="T138" s="30" t="str">
        <f t="shared" si="69"/>
        <v xml:space="preserve"> </v>
      </c>
      <c r="U138" s="30">
        <f t="shared" si="70"/>
        <v>0.96960531224282376</v>
      </c>
      <c r="V138" s="30" t="str">
        <f t="shared" si="71"/>
        <v xml:space="preserve"> </v>
      </c>
      <c r="W138" s="30" t="str">
        <f t="shared" si="71"/>
        <v xml:space="preserve"> </v>
      </c>
    </row>
    <row r="139" spans="1:23" ht="100.5" customHeight="1" x14ac:dyDescent="0.2">
      <c r="A139" s="74"/>
      <c r="B139" s="75"/>
      <c r="C139" s="41" t="s">
        <v>311</v>
      </c>
      <c r="D139" s="35"/>
      <c r="E139" s="36"/>
      <c r="F139" s="36"/>
      <c r="G139" s="36"/>
      <c r="H139" s="37"/>
      <c r="I139" s="35">
        <f>SUM(J139:M139)</f>
        <v>60915.5</v>
      </c>
      <c r="J139" s="36"/>
      <c r="K139" s="39">
        <v>60915.5</v>
      </c>
      <c r="L139" s="36"/>
      <c r="M139" s="37"/>
      <c r="N139" s="35">
        <f t="shared" si="75"/>
        <v>46172.288999999997</v>
      </c>
      <c r="O139" s="36"/>
      <c r="P139" s="36">
        <v>46172.288999999997</v>
      </c>
      <c r="Q139" s="36"/>
      <c r="R139" s="37"/>
      <c r="S139" s="29">
        <f t="shared" si="68"/>
        <v>0.75797274913609836</v>
      </c>
      <c r="T139" s="30" t="str">
        <f t="shared" si="69"/>
        <v xml:space="preserve"> </v>
      </c>
      <c r="U139" s="30">
        <f t="shared" si="70"/>
        <v>0.75797274913609836</v>
      </c>
      <c r="V139" s="30" t="str">
        <f t="shared" si="71"/>
        <v xml:space="preserve"> </v>
      </c>
      <c r="W139" s="30" t="str">
        <f t="shared" si="71"/>
        <v xml:space="preserve"> </v>
      </c>
    </row>
    <row r="140" spans="1:23" ht="78.75" customHeight="1" x14ac:dyDescent="0.2">
      <c r="A140" s="74"/>
      <c r="B140" s="75"/>
      <c r="C140" s="42" t="s">
        <v>312</v>
      </c>
      <c r="D140" s="35"/>
      <c r="E140" s="36"/>
      <c r="F140" s="36"/>
      <c r="G140" s="36"/>
      <c r="H140" s="37"/>
      <c r="I140" s="35">
        <f t="shared" ref="I140:I141" si="89">SUM(J140:M140)</f>
        <v>30006</v>
      </c>
      <c r="J140" s="36"/>
      <c r="K140" s="39"/>
      <c r="L140" s="39">
        <v>30006</v>
      </c>
      <c r="M140" s="37"/>
      <c r="N140" s="35">
        <f t="shared" si="75"/>
        <v>29495.411</v>
      </c>
      <c r="O140" s="36"/>
      <c r="P140" s="36"/>
      <c r="Q140" s="36">
        <v>29495.411</v>
      </c>
      <c r="R140" s="37"/>
      <c r="S140" s="29">
        <f t="shared" si="68"/>
        <v>0.9829837699126841</v>
      </c>
      <c r="T140" s="30" t="str">
        <f t="shared" si="69"/>
        <v xml:space="preserve"> </v>
      </c>
      <c r="U140" s="30" t="str">
        <f t="shared" si="70"/>
        <v xml:space="preserve"> </v>
      </c>
      <c r="V140" s="30">
        <f t="shared" si="71"/>
        <v>0.9829837699126841</v>
      </c>
      <c r="W140" s="30" t="str">
        <f t="shared" si="71"/>
        <v xml:space="preserve"> </v>
      </c>
    </row>
    <row r="141" spans="1:23" ht="42" customHeight="1" x14ac:dyDescent="0.2">
      <c r="A141" s="74"/>
      <c r="B141" s="75"/>
      <c r="C141" s="45" t="s">
        <v>313</v>
      </c>
      <c r="D141" s="35"/>
      <c r="E141" s="36"/>
      <c r="F141" s="36"/>
      <c r="G141" s="36"/>
      <c r="H141" s="37"/>
      <c r="I141" s="35">
        <f t="shared" si="89"/>
        <v>1680</v>
      </c>
      <c r="J141" s="36"/>
      <c r="K141" s="39"/>
      <c r="L141" s="39">
        <v>1680</v>
      </c>
      <c r="M141" s="37"/>
      <c r="N141" s="35">
        <f t="shared" si="75"/>
        <v>1176</v>
      </c>
      <c r="O141" s="36"/>
      <c r="P141" s="36"/>
      <c r="Q141" s="39">
        <v>1176</v>
      </c>
      <c r="R141" s="37"/>
      <c r="S141" s="29">
        <f t="shared" si="68"/>
        <v>0.7</v>
      </c>
      <c r="T141" s="30" t="str">
        <f t="shared" si="69"/>
        <v xml:space="preserve"> </v>
      </c>
      <c r="U141" s="30" t="str">
        <f t="shared" si="70"/>
        <v xml:space="preserve"> </v>
      </c>
      <c r="V141" s="30">
        <f t="shared" si="71"/>
        <v>0.7</v>
      </c>
      <c r="W141" s="30" t="str">
        <f t="shared" si="71"/>
        <v xml:space="preserve"> </v>
      </c>
    </row>
    <row r="142" spans="1:23" s="38" customFormat="1" ht="33" x14ac:dyDescent="0.2">
      <c r="A142" s="72"/>
      <c r="B142" s="76"/>
      <c r="C142" s="40" t="s">
        <v>314</v>
      </c>
      <c r="D142" s="5"/>
      <c r="E142" s="6"/>
      <c r="F142" s="6"/>
      <c r="G142" s="6"/>
      <c r="H142" s="7"/>
      <c r="I142" s="5">
        <f>SUM(J142:M142)</f>
        <v>587705.5</v>
      </c>
      <c r="J142" s="6">
        <f>SUM(J143:J146)</f>
        <v>0</v>
      </c>
      <c r="K142" s="6">
        <f t="shared" ref="K142" si="90">SUM(K143:K146)</f>
        <v>548460.5</v>
      </c>
      <c r="L142" s="6">
        <f>SUM(L143:L146)</f>
        <v>39245</v>
      </c>
      <c r="M142" s="7">
        <f t="shared" ref="M142:R142" si="91">M143</f>
        <v>0</v>
      </c>
      <c r="N142" s="5">
        <f t="shared" si="75"/>
        <v>550397.21699999995</v>
      </c>
      <c r="O142" s="6">
        <f>SUM(O143:O146)</f>
        <v>0</v>
      </c>
      <c r="P142" s="6">
        <f t="shared" ref="P142" si="92">SUM(P143:P146)</f>
        <v>511181.85599999997</v>
      </c>
      <c r="Q142" s="6">
        <f>SUM(Q143:Q146)</f>
        <v>39215.361000000004</v>
      </c>
      <c r="R142" s="7">
        <f t="shared" si="91"/>
        <v>0</v>
      </c>
      <c r="S142" s="26">
        <f t="shared" si="68"/>
        <v>0.93651874450724037</v>
      </c>
      <c r="T142" s="27" t="str">
        <f t="shared" si="69"/>
        <v xml:space="preserve"> </v>
      </c>
      <c r="U142" s="27">
        <f t="shared" si="70"/>
        <v>0.93203039416694544</v>
      </c>
      <c r="V142" s="27">
        <f t="shared" si="71"/>
        <v>0.99924477003439938</v>
      </c>
      <c r="W142" s="27" t="str">
        <f t="shared" si="71"/>
        <v xml:space="preserve"> </v>
      </c>
    </row>
    <row r="143" spans="1:23" ht="49.5" customHeight="1" x14ac:dyDescent="0.2">
      <c r="A143" s="74"/>
      <c r="B143" s="75"/>
      <c r="C143" s="42" t="s">
        <v>315</v>
      </c>
      <c r="D143" s="35"/>
      <c r="E143" s="36"/>
      <c r="F143" s="36"/>
      <c r="G143" s="36"/>
      <c r="H143" s="37"/>
      <c r="I143" s="35">
        <f>SUM(J143:M143)</f>
        <v>548460.5</v>
      </c>
      <c r="J143" s="36"/>
      <c r="K143" s="39">
        <v>548460.5</v>
      </c>
      <c r="L143" s="36"/>
      <c r="M143" s="37"/>
      <c r="N143" s="35">
        <f t="shared" si="75"/>
        <v>511181.85599999997</v>
      </c>
      <c r="O143" s="36"/>
      <c r="P143" s="36">
        <v>511181.85599999997</v>
      </c>
      <c r="Q143" s="36"/>
      <c r="R143" s="37"/>
      <c r="S143" s="29">
        <f t="shared" si="68"/>
        <v>0.93203039416694544</v>
      </c>
      <c r="T143" s="30" t="str">
        <f t="shared" si="69"/>
        <v xml:space="preserve"> </v>
      </c>
      <c r="U143" s="30">
        <f t="shared" si="70"/>
        <v>0.93203039416694544</v>
      </c>
      <c r="V143" s="30" t="str">
        <f t="shared" si="71"/>
        <v xml:space="preserve"> </v>
      </c>
      <c r="W143" s="30" t="str">
        <f>IF(M143=0," ",R143/M143)</f>
        <v xml:space="preserve"> </v>
      </c>
    </row>
    <row r="144" spans="1:23" ht="48" customHeight="1" x14ac:dyDescent="0.2">
      <c r="A144" s="74"/>
      <c r="B144" s="75"/>
      <c r="C144" s="44" t="s">
        <v>316</v>
      </c>
      <c r="D144" s="35"/>
      <c r="E144" s="36"/>
      <c r="F144" s="36"/>
      <c r="G144" s="36"/>
      <c r="H144" s="37"/>
      <c r="I144" s="35">
        <f t="shared" ref="I144:I146" si="93">SUM(J144:M144)</f>
        <v>21082.5</v>
      </c>
      <c r="J144" s="36"/>
      <c r="K144" s="39"/>
      <c r="L144" s="39">
        <v>21082.5</v>
      </c>
      <c r="M144" s="37"/>
      <c r="N144" s="35">
        <f t="shared" si="75"/>
        <v>21082.464</v>
      </c>
      <c r="O144" s="36"/>
      <c r="P144" s="36"/>
      <c r="Q144" s="39">
        <v>21082.464</v>
      </c>
      <c r="R144" s="37"/>
      <c r="S144" s="29">
        <f t="shared" si="68"/>
        <v>0.99999829242262539</v>
      </c>
      <c r="T144" s="30" t="str">
        <f t="shared" si="69"/>
        <v xml:space="preserve"> </v>
      </c>
      <c r="U144" s="30" t="str">
        <f t="shared" si="70"/>
        <v xml:space="preserve"> </v>
      </c>
      <c r="V144" s="30">
        <f t="shared" si="71"/>
        <v>0.99999829242262539</v>
      </c>
      <c r="W144" s="30" t="str">
        <f t="shared" si="71"/>
        <v xml:space="preserve"> </v>
      </c>
    </row>
    <row r="145" spans="1:23" ht="46.5" customHeight="1" x14ac:dyDescent="0.2">
      <c r="A145" s="74"/>
      <c r="B145" s="75"/>
      <c r="C145" s="44" t="s">
        <v>317</v>
      </c>
      <c r="D145" s="35"/>
      <c r="E145" s="36"/>
      <c r="F145" s="36"/>
      <c r="G145" s="36"/>
      <c r="H145" s="37"/>
      <c r="I145" s="35">
        <f t="shared" si="93"/>
        <v>5438.9</v>
      </c>
      <c r="J145" s="36"/>
      <c r="K145" s="39"/>
      <c r="L145" s="39">
        <v>5438.9</v>
      </c>
      <c r="M145" s="37"/>
      <c r="N145" s="35">
        <f t="shared" si="75"/>
        <v>5438.8590000000004</v>
      </c>
      <c r="O145" s="36"/>
      <c r="P145" s="36"/>
      <c r="Q145" s="39">
        <v>5438.8590000000004</v>
      </c>
      <c r="R145" s="37"/>
      <c r="S145" s="29">
        <f t="shared" si="68"/>
        <v>0.99999246171100786</v>
      </c>
      <c r="T145" s="30" t="str">
        <f t="shared" si="69"/>
        <v xml:space="preserve"> </v>
      </c>
      <c r="U145" s="30" t="str">
        <f t="shared" si="70"/>
        <v xml:space="preserve"> </v>
      </c>
      <c r="V145" s="30">
        <f t="shared" si="71"/>
        <v>0.99999246171100786</v>
      </c>
      <c r="W145" s="30" t="str">
        <f t="shared" si="71"/>
        <v xml:space="preserve"> </v>
      </c>
    </row>
    <row r="146" spans="1:23" ht="39.950000000000003" customHeight="1" x14ac:dyDescent="0.2">
      <c r="A146" s="74"/>
      <c r="B146" s="75"/>
      <c r="C146" s="44" t="s">
        <v>318</v>
      </c>
      <c r="D146" s="35"/>
      <c r="E146" s="36"/>
      <c r="F146" s="36"/>
      <c r="G146" s="36"/>
      <c r="H146" s="37"/>
      <c r="I146" s="35">
        <f t="shared" si="93"/>
        <v>12723.6</v>
      </c>
      <c r="J146" s="36"/>
      <c r="K146" s="39"/>
      <c r="L146" s="39">
        <v>12723.6</v>
      </c>
      <c r="M146" s="37"/>
      <c r="N146" s="35">
        <f t="shared" si="75"/>
        <v>12694.038</v>
      </c>
      <c r="O146" s="36"/>
      <c r="P146" s="36"/>
      <c r="Q146" s="39">
        <v>12694.038</v>
      </c>
      <c r="R146" s="37"/>
      <c r="S146" s="29">
        <f t="shared" si="68"/>
        <v>0.99767660096199184</v>
      </c>
      <c r="T146" s="30" t="str">
        <f t="shared" si="69"/>
        <v xml:space="preserve"> </v>
      </c>
      <c r="U146" s="30" t="str">
        <f t="shared" si="70"/>
        <v xml:space="preserve"> </v>
      </c>
      <c r="V146" s="30">
        <f t="shared" si="71"/>
        <v>0.99767660096199184</v>
      </c>
      <c r="W146" s="30" t="str">
        <f t="shared" si="71"/>
        <v xml:space="preserve"> </v>
      </c>
    </row>
    <row r="147" spans="1:23" s="38" customFormat="1" ht="96" customHeight="1" x14ac:dyDescent="0.2">
      <c r="A147" s="72"/>
      <c r="B147" s="76"/>
      <c r="C147" s="40" t="s">
        <v>319</v>
      </c>
      <c r="D147" s="5"/>
      <c r="E147" s="6"/>
      <c r="F147" s="6"/>
      <c r="G147" s="6"/>
      <c r="H147" s="7"/>
      <c r="I147" s="5">
        <f>SUM(J147:M147)</f>
        <v>8673.1</v>
      </c>
      <c r="J147" s="6"/>
      <c r="K147" s="46"/>
      <c r="L147" s="6">
        <v>8673.1</v>
      </c>
      <c r="M147" s="7"/>
      <c r="N147" s="5">
        <f t="shared" si="75"/>
        <v>6071.201</v>
      </c>
      <c r="O147" s="6"/>
      <c r="P147" s="6"/>
      <c r="Q147" s="6">
        <v>6071.201</v>
      </c>
      <c r="R147" s="7"/>
      <c r="S147" s="26">
        <f t="shared" si="68"/>
        <v>0.70000357426986892</v>
      </c>
      <c r="T147" s="27" t="str">
        <f t="shared" si="69"/>
        <v xml:space="preserve"> </v>
      </c>
      <c r="U147" s="27" t="str">
        <f t="shared" si="70"/>
        <v xml:space="preserve"> </v>
      </c>
      <c r="V147" s="27">
        <f t="shared" si="71"/>
        <v>0.70000357426986892</v>
      </c>
      <c r="W147" s="27" t="str">
        <f t="shared" si="71"/>
        <v xml:space="preserve"> </v>
      </c>
    </row>
    <row r="148" spans="1:23" s="38" customFormat="1" ht="45.75" customHeight="1" x14ac:dyDescent="0.2">
      <c r="A148" s="72"/>
      <c r="B148" s="76"/>
      <c r="C148" s="40" t="s">
        <v>320</v>
      </c>
      <c r="D148" s="5"/>
      <c r="E148" s="6"/>
      <c r="F148" s="6"/>
      <c r="G148" s="6"/>
      <c r="H148" s="7"/>
      <c r="I148" s="5">
        <f>SUM(J148:M148)</f>
        <v>877298.1</v>
      </c>
      <c r="J148" s="6">
        <f>J149</f>
        <v>0</v>
      </c>
      <c r="K148" s="6">
        <f t="shared" ref="K148:R148" si="94">K149</f>
        <v>877298.1</v>
      </c>
      <c r="L148" s="6">
        <f t="shared" si="94"/>
        <v>0</v>
      </c>
      <c r="M148" s="47">
        <f t="shared" si="94"/>
        <v>0</v>
      </c>
      <c r="N148" s="5">
        <f t="shared" si="75"/>
        <v>803339.6</v>
      </c>
      <c r="O148" s="6">
        <f>O149</f>
        <v>0</v>
      </c>
      <c r="P148" s="6">
        <f t="shared" ref="P148:Q148" si="95">P149</f>
        <v>803339.6</v>
      </c>
      <c r="Q148" s="6">
        <f t="shared" si="95"/>
        <v>0</v>
      </c>
      <c r="R148" s="47">
        <f t="shared" si="94"/>
        <v>0</v>
      </c>
      <c r="S148" s="26">
        <f t="shared" si="68"/>
        <v>0.91569741231629254</v>
      </c>
      <c r="T148" s="27" t="str">
        <f t="shared" si="69"/>
        <v xml:space="preserve"> </v>
      </c>
      <c r="U148" s="27">
        <f t="shared" si="70"/>
        <v>0.91569741231629254</v>
      </c>
      <c r="V148" s="27" t="str">
        <f t="shared" si="71"/>
        <v xml:space="preserve"> </v>
      </c>
      <c r="W148" s="27" t="str">
        <f t="shared" si="71"/>
        <v xml:space="preserve"> </v>
      </c>
    </row>
    <row r="149" spans="1:23" ht="42.75" customHeight="1" x14ac:dyDescent="0.2">
      <c r="A149" s="74"/>
      <c r="B149" s="75"/>
      <c r="C149" s="42" t="s">
        <v>321</v>
      </c>
      <c r="D149" s="35"/>
      <c r="E149" s="36"/>
      <c r="F149" s="36"/>
      <c r="G149" s="36"/>
      <c r="H149" s="37"/>
      <c r="I149" s="35">
        <f>SUM(J149:M149)</f>
        <v>877298.1</v>
      </c>
      <c r="J149" s="36"/>
      <c r="K149" s="39">
        <v>877298.1</v>
      </c>
      <c r="L149" s="36"/>
      <c r="M149" s="37"/>
      <c r="N149" s="35">
        <f t="shared" si="75"/>
        <v>803339.6</v>
      </c>
      <c r="O149" s="36"/>
      <c r="P149" s="36">
        <v>803339.6</v>
      </c>
      <c r="Q149" s="36"/>
      <c r="R149" s="37"/>
      <c r="S149" s="29">
        <f t="shared" si="68"/>
        <v>0.91569741231629254</v>
      </c>
      <c r="T149" s="30" t="str">
        <f t="shared" si="69"/>
        <v xml:space="preserve"> </v>
      </c>
      <c r="U149" s="30">
        <f t="shared" si="70"/>
        <v>0.91569741231629254</v>
      </c>
      <c r="V149" s="30" t="str">
        <f t="shared" si="71"/>
        <v xml:space="preserve"> </v>
      </c>
      <c r="W149" s="30" t="str">
        <f t="shared" si="71"/>
        <v xml:space="preserve"> </v>
      </c>
    </row>
    <row r="150" spans="1:23" s="38" customFormat="1" ht="31.5" customHeight="1" x14ac:dyDescent="0.2">
      <c r="A150" s="72"/>
      <c r="B150" s="76"/>
      <c r="C150" s="40" t="s">
        <v>322</v>
      </c>
      <c r="D150" s="5"/>
      <c r="E150" s="6"/>
      <c r="F150" s="6"/>
      <c r="G150" s="6"/>
      <c r="H150" s="7"/>
      <c r="I150" s="5">
        <f>SUM(J150:M150)</f>
        <v>72634.600000000006</v>
      </c>
      <c r="J150" s="6">
        <f>SUM(J151:J152)</f>
        <v>0</v>
      </c>
      <c r="K150" s="6">
        <f t="shared" ref="K150:L150" si="96">SUM(K151:K152)</f>
        <v>72634.600000000006</v>
      </c>
      <c r="L150" s="6">
        <f t="shared" si="96"/>
        <v>0</v>
      </c>
      <c r="M150" s="7">
        <f>SUM(M151:M152)</f>
        <v>0</v>
      </c>
      <c r="N150" s="5">
        <f t="shared" si="75"/>
        <v>5858.5640000000003</v>
      </c>
      <c r="O150" s="6">
        <f>SUM(O151:O152)</f>
        <v>0</v>
      </c>
      <c r="P150" s="6">
        <f t="shared" ref="P150:Q150" si="97">SUM(P151:P152)</f>
        <v>5858.5640000000003</v>
      </c>
      <c r="Q150" s="6">
        <f t="shared" si="97"/>
        <v>0</v>
      </c>
      <c r="R150" s="7">
        <f>SUM(R151:R152)</f>
        <v>0</v>
      </c>
      <c r="S150" s="26">
        <f t="shared" si="68"/>
        <v>8.0658033499186335E-2</v>
      </c>
      <c r="T150" s="27" t="str">
        <f t="shared" si="69"/>
        <v xml:space="preserve"> </v>
      </c>
      <c r="U150" s="27">
        <f t="shared" si="70"/>
        <v>8.0658033499186335E-2</v>
      </c>
      <c r="V150" s="27" t="str">
        <f t="shared" si="71"/>
        <v xml:space="preserve"> </v>
      </c>
      <c r="W150" s="27" t="str">
        <f t="shared" si="71"/>
        <v xml:space="preserve"> </v>
      </c>
    </row>
    <row r="151" spans="1:23" ht="65.25" customHeight="1" x14ac:dyDescent="0.2">
      <c r="A151" s="74"/>
      <c r="B151" s="75"/>
      <c r="C151" s="41" t="s">
        <v>323</v>
      </c>
      <c r="D151" s="35"/>
      <c r="E151" s="36"/>
      <c r="F151" s="36"/>
      <c r="G151" s="36"/>
      <c r="H151" s="37"/>
      <c r="I151" s="35">
        <f>SUM(J151:M151)</f>
        <v>5858.6</v>
      </c>
      <c r="J151" s="36"/>
      <c r="K151" s="39">
        <v>5858.6</v>
      </c>
      <c r="L151" s="36"/>
      <c r="M151" s="37"/>
      <c r="N151" s="35">
        <f t="shared" si="75"/>
        <v>5858.5640000000003</v>
      </c>
      <c r="O151" s="36"/>
      <c r="P151" s="36">
        <v>5858.5640000000003</v>
      </c>
      <c r="Q151" s="36"/>
      <c r="R151" s="37"/>
      <c r="S151" s="29">
        <f t="shared" si="68"/>
        <v>0.99999385518724604</v>
      </c>
      <c r="T151" s="30" t="str">
        <f t="shared" si="69"/>
        <v xml:space="preserve"> </v>
      </c>
      <c r="U151" s="30">
        <f t="shared" si="70"/>
        <v>0.99999385518724604</v>
      </c>
      <c r="V151" s="30" t="str">
        <f t="shared" si="71"/>
        <v xml:space="preserve"> </v>
      </c>
      <c r="W151" s="30" t="str">
        <f t="shared" si="71"/>
        <v xml:space="preserve"> </v>
      </c>
    </row>
    <row r="152" spans="1:23" ht="43.5" customHeight="1" x14ac:dyDescent="0.2">
      <c r="A152" s="74"/>
      <c r="B152" s="75"/>
      <c r="C152" s="4" t="s">
        <v>324</v>
      </c>
      <c r="D152" s="35"/>
      <c r="E152" s="36"/>
      <c r="F152" s="36"/>
      <c r="G152" s="36"/>
      <c r="H152" s="37"/>
      <c r="I152" s="35">
        <f t="shared" si="79"/>
        <v>66776</v>
      </c>
      <c r="J152" s="36"/>
      <c r="K152" s="39">
        <f>99760.5-32984.5</f>
        <v>66776</v>
      </c>
      <c r="L152" s="36"/>
      <c r="M152" s="37"/>
      <c r="N152" s="35">
        <f t="shared" ref="N152:N202" si="98">SUM(O152:R152)</f>
        <v>0</v>
      </c>
      <c r="O152" s="36"/>
      <c r="P152" s="36">
        <v>0</v>
      </c>
      <c r="Q152" s="36"/>
      <c r="R152" s="37"/>
      <c r="S152" s="29">
        <f t="shared" ref="S152:S215" si="99">IF(I152=0," ",N152/I152)</f>
        <v>0</v>
      </c>
      <c r="T152" s="30" t="str">
        <f t="shared" ref="T152:T215" si="100">IF(J152=0," ",O152/J152)</f>
        <v xml:space="preserve"> </v>
      </c>
      <c r="U152" s="30">
        <f t="shared" ref="U152:U215" si="101">IF(K152=0," ",P152/K152)</f>
        <v>0</v>
      </c>
      <c r="V152" s="30" t="str">
        <f t="shared" ref="V152:W215" si="102">IF(L152=0," ",Q152/L152)</f>
        <v xml:space="preserve"> </v>
      </c>
      <c r="W152" s="30" t="str">
        <f t="shared" si="102"/>
        <v xml:space="preserve"> </v>
      </c>
    </row>
    <row r="153" spans="1:23" s="38" customFormat="1" ht="76.5" customHeight="1" x14ac:dyDescent="0.2">
      <c r="A153" s="72"/>
      <c r="B153" s="76"/>
      <c r="C153" s="48" t="s">
        <v>325</v>
      </c>
      <c r="D153" s="5"/>
      <c r="E153" s="6"/>
      <c r="F153" s="6"/>
      <c r="G153" s="6"/>
      <c r="H153" s="7"/>
      <c r="I153" s="5">
        <f>SUM(J153:M153)</f>
        <v>9979.7999999999993</v>
      </c>
      <c r="J153" s="6">
        <f>SUM(J154:J155)</f>
        <v>0</v>
      </c>
      <c r="K153" s="6">
        <f>SUM(K154:K155)</f>
        <v>0</v>
      </c>
      <c r="L153" s="6">
        <f>SUM(L154:L155)</f>
        <v>9979.7999999999993</v>
      </c>
      <c r="M153" s="7">
        <f>SUM(M154:M155)</f>
        <v>0</v>
      </c>
      <c r="N153" s="5">
        <f t="shared" si="98"/>
        <v>9979.6749999999993</v>
      </c>
      <c r="O153" s="6">
        <f>SUM(O154:O155)</f>
        <v>0</v>
      </c>
      <c r="P153" s="6">
        <f t="shared" ref="P153:R153" si="103">SUM(P154:P155)</f>
        <v>0</v>
      </c>
      <c r="Q153" s="6">
        <f t="shared" si="103"/>
        <v>9979.6749999999993</v>
      </c>
      <c r="R153" s="7">
        <f t="shared" si="103"/>
        <v>0</v>
      </c>
      <c r="S153" s="26">
        <f t="shared" si="99"/>
        <v>0.99998747469889171</v>
      </c>
      <c r="T153" s="27" t="str">
        <f t="shared" si="100"/>
        <v xml:space="preserve"> </v>
      </c>
      <c r="U153" s="27" t="str">
        <f t="shared" si="101"/>
        <v xml:space="preserve"> </v>
      </c>
      <c r="V153" s="27">
        <f t="shared" si="102"/>
        <v>0.99998747469889171</v>
      </c>
      <c r="W153" s="27" t="str">
        <f t="shared" si="102"/>
        <v xml:space="preserve"> </v>
      </c>
    </row>
    <row r="154" spans="1:23" ht="45.75" customHeight="1" x14ac:dyDescent="0.2">
      <c r="A154" s="74"/>
      <c r="B154" s="75"/>
      <c r="C154" s="42" t="s">
        <v>326</v>
      </c>
      <c r="D154" s="35"/>
      <c r="E154" s="36"/>
      <c r="F154" s="36"/>
      <c r="G154" s="36"/>
      <c r="H154" s="37"/>
      <c r="I154" s="35">
        <f>SUM(J154:M154)</f>
        <v>4630.5999999999995</v>
      </c>
      <c r="J154" s="36"/>
      <c r="K154" s="39"/>
      <c r="L154" s="39">
        <v>4630.5999999999995</v>
      </c>
      <c r="M154" s="37"/>
      <c r="N154" s="35">
        <f t="shared" si="98"/>
        <v>4630.4940000000006</v>
      </c>
      <c r="O154" s="36"/>
      <c r="P154" s="36"/>
      <c r="Q154" s="39">
        <v>4630.4940000000006</v>
      </c>
      <c r="R154" s="37"/>
      <c r="S154" s="29">
        <f t="shared" si="99"/>
        <v>0.99997710879799617</v>
      </c>
      <c r="T154" s="30" t="str">
        <f t="shared" si="100"/>
        <v xml:space="preserve"> </v>
      </c>
      <c r="U154" s="30" t="str">
        <f t="shared" si="101"/>
        <v xml:space="preserve"> </v>
      </c>
      <c r="V154" s="30">
        <f t="shared" si="102"/>
        <v>0.99997710879799617</v>
      </c>
      <c r="W154" s="30" t="str">
        <f t="shared" si="102"/>
        <v xml:space="preserve"> </v>
      </c>
    </row>
    <row r="155" spans="1:23" ht="39" customHeight="1" x14ac:dyDescent="0.2">
      <c r="A155" s="74"/>
      <c r="B155" s="75"/>
      <c r="C155" s="42" t="s">
        <v>327</v>
      </c>
      <c r="D155" s="35"/>
      <c r="E155" s="36"/>
      <c r="F155" s="36"/>
      <c r="G155" s="36"/>
      <c r="H155" s="37"/>
      <c r="I155" s="35">
        <f>SUM(J155:M155)</f>
        <v>5349.2</v>
      </c>
      <c r="J155" s="36"/>
      <c r="K155" s="39"/>
      <c r="L155" s="39">
        <v>5349.2</v>
      </c>
      <c r="M155" s="37"/>
      <c r="N155" s="35">
        <f t="shared" si="98"/>
        <v>5349.1809999999996</v>
      </c>
      <c r="O155" s="36"/>
      <c r="P155" s="36"/>
      <c r="Q155" s="39">
        <v>5349.1809999999996</v>
      </c>
      <c r="R155" s="37"/>
      <c r="S155" s="29">
        <f t="shared" si="99"/>
        <v>0.99999644806700061</v>
      </c>
      <c r="T155" s="30" t="str">
        <f t="shared" si="100"/>
        <v xml:space="preserve"> </v>
      </c>
      <c r="U155" s="30" t="str">
        <f t="shared" si="101"/>
        <v xml:space="preserve"> </v>
      </c>
      <c r="V155" s="30">
        <f t="shared" si="102"/>
        <v>0.99999644806700061</v>
      </c>
      <c r="W155" s="30" t="str">
        <f t="shared" si="102"/>
        <v xml:space="preserve"> </v>
      </c>
    </row>
    <row r="156" spans="1:23" s="38" customFormat="1" ht="33" x14ac:dyDescent="0.2">
      <c r="A156" s="72"/>
      <c r="B156" s="76"/>
      <c r="C156" s="40" t="s">
        <v>328</v>
      </c>
      <c r="D156" s="5"/>
      <c r="E156" s="6"/>
      <c r="F156" s="6"/>
      <c r="G156" s="6"/>
      <c r="H156" s="7"/>
      <c r="I156" s="5">
        <f>SUM(J156:M156)</f>
        <v>26531.100000000002</v>
      </c>
      <c r="J156" s="6">
        <f>SUM(J157:J158)</f>
        <v>0</v>
      </c>
      <c r="K156" s="6">
        <f t="shared" ref="K156:L156" si="104">SUM(K157:K158)</f>
        <v>12173.2</v>
      </c>
      <c r="L156" s="6">
        <f t="shared" si="104"/>
        <v>14357.900000000001</v>
      </c>
      <c r="M156" s="7">
        <f>SUM(M158:M158)</f>
        <v>0</v>
      </c>
      <c r="N156" s="5">
        <f t="shared" si="98"/>
        <v>26217.802</v>
      </c>
      <c r="O156" s="6">
        <f>SUM(O157:O158)</f>
        <v>0</v>
      </c>
      <c r="P156" s="6">
        <f t="shared" ref="P156:R156" si="105">SUM(P157:P158)</f>
        <v>12173.141</v>
      </c>
      <c r="Q156" s="6">
        <f t="shared" si="105"/>
        <v>14044.661</v>
      </c>
      <c r="R156" s="7">
        <f t="shared" si="105"/>
        <v>0</v>
      </c>
      <c r="S156" s="26">
        <f t="shared" si="99"/>
        <v>0.98819129248316118</v>
      </c>
      <c r="T156" s="27" t="str">
        <f t="shared" si="100"/>
        <v xml:space="preserve"> </v>
      </c>
      <c r="U156" s="27">
        <f t="shared" si="101"/>
        <v>0.99999515328754962</v>
      </c>
      <c r="V156" s="27">
        <f t="shared" si="102"/>
        <v>0.97818350873038529</v>
      </c>
      <c r="W156" s="27" t="str">
        <f t="shared" si="102"/>
        <v xml:space="preserve"> </v>
      </c>
    </row>
    <row r="157" spans="1:23" ht="42.75" customHeight="1" x14ac:dyDescent="0.2">
      <c r="A157" s="74"/>
      <c r="B157" s="75"/>
      <c r="C157" s="42" t="s">
        <v>329</v>
      </c>
      <c r="D157" s="35"/>
      <c r="E157" s="36"/>
      <c r="F157" s="36"/>
      <c r="G157" s="36"/>
      <c r="H157" s="37"/>
      <c r="I157" s="35">
        <f>SUM(J157:M157)</f>
        <v>14357.900000000001</v>
      </c>
      <c r="J157" s="36"/>
      <c r="K157" s="36"/>
      <c r="L157" s="39">
        <v>14357.900000000001</v>
      </c>
      <c r="M157" s="37"/>
      <c r="N157" s="35">
        <f t="shared" si="98"/>
        <v>14044.661</v>
      </c>
      <c r="O157" s="36"/>
      <c r="P157" s="36"/>
      <c r="Q157" s="36">
        <v>14044.661</v>
      </c>
      <c r="R157" s="37"/>
      <c r="S157" s="29">
        <f t="shared" si="99"/>
        <v>0.97818350873038529</v>
      </c>
      <c r="T157" s="30" t="str">
        <f t="shared" si="100"/>
        <v xml:space="preserve"> </v>
      </c>
      <c r="U157" s="30" t="str">
        <f t="shared" si="101"/>
        <v xml:space="preserve"> </v>
      </c>
      <c r="V157" s="30">
        <f t="shared" si="102"/>
        <v>0.97818350873038529</v>
      </c>
      <c r="W157" s="30" t="str">
        <f t="shared" si="102"/>
        <v xml:space="preserve"> </v>
      </c>
    </row>
    <row r="158" spans="1:23" ht="43.5" customHeight="1" x14ac:dyDescent="0.2">
      <c r="A158" s="74"/>
      <c r="B158" s="75"/>
      <c r="C158" s="45" t="s">
        <v>330</v>
      </c>
      <c r="D158" s="35"/>
      <c r="E158" s="36"/>
      <c r="F158" s="36"/>
      <c r="G158" s="36"/>
      <c r="H158" s="37"/>
      <c r="I158" s="35">
        <f t="shared" si="79"/>
        <v>12173.2</v>
      </c>
      <c r="J158" s="36"/>
      <c r="K158" s="39">
        <v>12173.2</v>
      </c>
      <c r="L158" s="36"/>
      <c r="M158" s="37"/>
      <c r="N158" s="35">
        <f t="shared" si="98"/>
        <v>12173.141</v>
      </c>
      <c r="O158" s="36"/>
      <c r="P158" s="36">
        <v>12173.141</v>
      </c>
      <c r="Q158" s="36"/>
      <c r="R158" s="37"/>
      <c r="S158" s="29">
        <f t="shared" si="99"/>
        <v>0.99999515328754962</v>
      </c>
      <c r="T158" s="30" t="str">
        <f t="shared" si="100"/>
        <v xml:space="preserve"> </v>
      </c>
      <c r="U158" s="30">
        <f t="shared" si="101"/>
        <v>0.99999515328754962</v>
      </c>
      <c r="V158" s="30" t="str">
        <f t="shared" si="102"/>
        <v xml:space="preserve"> </v>
      </c>
      <c r="W158" s="30" t="str">
        <f t="shared" si="102"/>
        <v xml:space="preserve"> </v>
      </c>
    </row>
    <row r="159" spans="1:23" s="38" customFormat="1" ht="75.75" customHeight="1" x14ac:dyDescent="0.2">
      <c r="A159" s="72"/>
      <c r="B159" s="76"/>
      <c r="C159" s="49" t="s">
        <v>331</v>
      </c>
      <c r="D159" s="5"/>
      <c r="E159" s="6"/>
      <c r="F159" s="6"/>
      <c r="G159" s="6"/>
      <c r="H159" s="7"/>
      <c r="I159" s="5">
        <f>SUM(J159:M159)</f>
        <v>1478174.1</v>
      </c>
      <c r="J159" s="46">
        <f>1445189.6+32984.5</f>
        <v>1478174.1</v>
      </c>
      <c r="K159" s="6">
        <v>0</v>
      </c>
      <c r="L159" s="6"/>
      <c r="M159" s="7"/>
      <c r="N159" s="5">
        <f t="shared" si="98"/>
        <v>1445189.514</v>
      </c>
      <c r="O159" s="6">
        <v>1445189.514</v>
      </c>
      <c r="P159" s="6">
        <v>0</v>
      </c>
      <c r="Q159" s="6"/>
      <c r="R159" s="7"/>
      <c r="S159" s="26">
        <f t="shared" si="99"/>
        <v>0.97768558791552351</v>
      </c>
      <c r="T159" s="27">
        <f t="shared" si="100"/>
        <v>0.97768558791552351</v>
      </c>
      <c r="U159" s="27" t="str">
        <f t="shared" si="101"/>
        <v xml:space="preserve"> </v>
      </c>
      <c r="V159" s="27" t="str">
        <f t="shared" si="102"/>
        <v xml:space="preserve"> </v>
      </c>
      <c r="W159" s="27" t="str">
        <f t="shared" si="102"/>
        <v xml:space="preserve"> </v>
      </c>
    </row>
    <row r="160" spans="1:23" s="38" customFormat="1" ht="48.75" customHeight="1" x14ac:dyDescent="0.2">
      <c r="A160" s="72"/>
      <c r="B160" s="76"/>
      <c r="C160" s="48" t="s">
        <v>830</v>
      </c>
      <c r="D160" s="5"/>
      <c r="E160" s="6"/>
      <c r="F160" s="6"/>
      <c r="G160" s="6"/>
      <c r="H160" s="7"/>
      <c r="I160" s="5">
        <f>SUM(J160:M160)</f>
        <v>13544677.200000001</v>
      </c>
      <c r="J160" s="6">
        <f>SUM(J161:J202)</f>
        <v>0</v>
      </c>
      <c r="K160" s="6">
        <f t="shared" ref="K160:M160" si="106">SUM(K161:K202)</f>
        <v>13380778.700000001</v>
      </c>
      <c r="L160" s="6">
        <f t="shared" si="106"/>
        <v>163898.49999999997</v>
      </c>
      <c r="M160" s="7">
        <f t="shared" si="106"/>
        <v>0</v>
      </c>
      <c r="N160" s="5">
        <f t="shared" si="98"/>
        <v>12554407.069499999</v>
      </c>
      <c r="O160" s="6">
        <f>SUM(O161:O202)</f>
        <v>0</v>
      </c>
      <c r="P160" s="6">
        <f t="shared" ref="P160:R160" si="107">SUM(P161:P202)</f>
        <v>12397915.615499999</v>
      </c>
      <c r="Q160" s="6">
        <f t="shared" si="107"/>
        <v>156491.45399999997</v>
      </c>
      <c r="R160" s="7">
        <f t="shared" si="107"/>
        <v>0</v>
      </c>
      <c r="S160" s="26">
        <f t="shared" si="99"/>
        <v>0.92688861344735463</v>
      </c>
      <c r="T160" s="27" t="str">
        <f t="shared" si="100"/>
        <v xml:space="preserve"> </v>
      </c>
      <c r="U160" s="27">
        <f t="shared" si="101"/>
        <v>0.92654664526362718</v>
      </c>
      <c r="V160" s="27">
        <f t="shared" si="102"/>
        <v>0.95480711537933538</v>
      </c>
      <c r="W160" s="27" t="str">
        <f t="shared" si="102"/>
        <v xml:space="preserve"> </v>
      </c>
    </row>
    <row r="161" spans="1:23" ht="119.25" customHeight="1" x14ac:dyDescent="0.2">
      <c r="A161" s="74"/>
      <c r="B161" s="75"/>
      <c r="C161" s="45" t="s">
        <v>837</v>
      </c>
      <c r="D161" s="35"/>
      <c r="E161" s="36"/>
      <c r="F161" s="36"/>
      <c r="G161" s="36"/>
      <c r="H161" s="37"/>
      <c r="I161" s="35">
        <f t="shared" ref="I161:I162" si="108">SUM(J161:M161)</f>
        <v>532.5</v>
      </c>
      <c r="J161" s="36"/>
      <c r="K161" s="36"/>
      <c r="L161" s="39">
        <v>532.5</v>
      </c>
      <c r="M161" s="37"/>
      <c r="N161" s="35">
        <f t="shared" si="98"/>
        <v>424.5</v>
      </c>
      <c r="O161" s="36"/>
      <c r="P161" s="36"/>
      <c r="Q161" s="39">
        <v>424.5</v>
      </c>
      <c r="R161" s="37"/>
      <c r="S161" s="29">
        <f t="shared" si="99"/>
        <v>0.79718309859154934</v>
      </c>
      <c r="T161" s="30" t="str">
        <f t="shared" si="100"/>
        <v xml:space="preserve"> </v>
      </c>
      <c r="U161" s="30" t="str">
        <f t="shared" si="101"/>
        <v xml:space="preserve"> </v>
      </c>
      <c r="V161" s="30">
        <f t="shared" si="102"/>
        <v>0.79718309859154934</v>
      </c>
      <c r="W161" s="30" t="str">
        <f t="shared" si="102"/>
        <v xml:space="preserve"> </v>
      </c>
    </row>
    <row r="162" spans="1:23" ht="110.1" customHeight="1" x14ac:dyDescent="0.2">
      <c r="A162" s="74"/>
      <c r="B162" s="75"/>
      <c r="C162" s="45" t="s">
        <v>838</v>
      </c>
      <c r="D162" s="35"/>
      <c r="E162" s="36"/>
      <c r="F162" s="36"/>
      <c r="G162" s="36"/>
      <c r="H162" s="37"/>
      <c r="I162" s="35">
        <f t="shared" si="108"/>
        <v>3161.9</v>
      </c>
      <c r="J162" s="36"/>
      <c r="K162" s="36"/>
      <c r="L162" s="39">
        <v>3161.9</v>
      </c>
      <c r="M162" s="37"/>
      <c r="N162" s="35">
        <f t="shared" si="98"/>
        <v>3161.9</v>
      </c>
      <c r="O162" s="36"/>
      <c r="P162" s="36"/>
      <c r="Q162" s="39">
        <v>3161.9</v>
      </c>
      <c r="R162" s="37"/>
      <c r="S162" s="29">
        <f t="shared" si="99"/>
        <v>1</v>
      </c>
      <c r="T162" s="30" t="str">
        <f t="shared" si="100"/>
        <v xml:space="preserve"> </v>
      </c>
      <c r="U162" s="30" t="str">
        <f t="shared" si="101"/>
        <v xml:space="preserve"> </v>
      </c>
      <c r="V162" s="30">
        <f t="shared" si="102"/>
        <v>1</v>
      </c>
      <c r="W162" s="30" t="str">
        <f t="shared" si="102"/>
        <v xml:space="preserve"> </v>
      </c>
    </row>
    <row r="163" spans="1:23" ht="84.75" customHeight="1" x14ac:dyDescent="0.2">
      <c r="A163" s="74"/>
      <c r="B163" s="75"/>
      <c r="C163" s="4" t="s">
        <v>332</v>
      </c>
      <c r="D163" s="35"/>
      <c r="E163" s="36"/>
      <c r="F163" s="36"/>
      <c r="G163" s="36"/>
      <c r="H163" s="37"/>
      <c r="I163" s="35">
        <f>SUM(J163:M163)</f>
        <v>299795.3</v>
      </c>
      <c r="J163" s="36"/>
      <c r="K163" s="39">
        <v>299795.3</v>
      </c>
      <c r="L163" s="36"/>
      <c r="M163" s="37"/>
      <c r="N163" s="35">
        <f t="shared" si="98"/>
        <v>171720.3</v>
      </c>
      <c r="O163" s="36"/>
      <c r="P163" s="36">
        <v>171720.3</v>
      </c>
      <c r="Q163" s="36"/>
      <c r="R163" s="37"/>
      <c r="S163" s="29">
        <f t="shared" si="99"/>
        <v>0.57279183496205577</v>
      </c>
      <c r="T163" s="30" t="str">
        <f t="shared" si="100"/>
        <v xml:space="preserve"> </v>
      </c>
      <c r="U163" s="30">
        <f t="shared" si="101"/>
        <v>0.57279183496205577</v>
      </c>
      <c r="V163" s="30" t="str">
        <f t="shared" si="102"/>
        <v xml:space="preserve"> </v>
      </c>
      <c r="W163" s="30" t="str">
        <f t="shared" si="102"/>
        <v xml:space="preserve"> </v>
      </c>
    </row>
    <row r="164" spans="1:23" ht="96.75" customHeight="1" x14ac:dyDescent="0.2">
      <c r="A164" s="74"/>
      <c r="B164" s="75"/>
      <c r="C164" s="4" t="s">
        <v>333</v>
      </c>
      <c r="D164" s="35"/>
      <c r="E164" s="36"/>
      <c r="F164" s="36"/>
      <c r="G164" s="36"/>
      <c r="H164" s="37"/>
      <c r="I164" s="35">
        <f t="shared" si="79"/>
        <v>128778.7</v>
      </c>
      <c r="J164" s="36"/>
      <c r="K164" s="39">
        <v>128778.7</v>
      </c>
      <c r="L164" s="39"/>
      <c r="M164" s="37"/>
      <c r="N164" s="35">
        <f t="shared" si="98"/>
        <v>76730.521999999997</v>
      </c>
      <c r="O164" s="36"/>
      <c r="P164" s="36">
        <v>76730.521999999997</v>
      </c>
      <c r="Q164" s="39"/>
      <c r="R164" s="37"/>
      <c r="S164" s="29">
        <f t="shared" si="99"/>
        <v>0.59583240085511036</v>
      </c>
      <c r="T164" s="30" t="str">
        <f t="shared" si="100"/>
        <v xml:space="preserve"> </v>
      </c>
      <c r="U164" s="30">
        <f t="shared" si="101"/>
        <v>0.59583240085511036</v>
      </c>
      <c r="V164" s="30" t="str">
        <f t="shared" si="102"/>
        <v xml:space="preserve"> </v>
      </c>
      <c r="W164" s="30" t="str">
        <f t="shared" si="102"/>
        <v xml:space="preserve"> </v>
      </c>
    </row>
    <row r="165" spans="1:23" ht="104.25" customHeight="1" x14ac:dyDescent="0.2">
      <c r="A165" s="74"/>
      <c r="B165" s="75"/>
      <c r="C165" s="45" t="s">
        <v>334</v>
      </c>
      <c r="D165" s="35"/>
      <c r="E165" s="36"/>
      <c r="F165" s="36"/>
      <c r="G165" s="36"/>
      <c r="H165" s="37"/>
      <c r="I165" s="35">
        <f t="shared" si="79"/>
        <v>2425.1999999999998</v>
      </c>
      <c r="J165" s="36"/>
      <c r="K165" s="39"/>
      <c r="L165" s="39">
        <f>2206+219.2</f>
        <v>2425.1999999999998</v>
      </c>
      <c r="M165" s="37"/>
      <c r="N165" s="35">
        <f t="shared" si="98"/>
        <v>2425.1999999999998</v>
      </c>
      <c r="O165" s="36"/>
      <c r="P165" s="36"/>
      <c r="Q165" s="39">
        <f>2206+219.2</f>
        <v>2425.1999999999998</v>
      </c>
      <c r="R165" s="37"/>
      <c r="S165" s="29">
        <f t="shared" si="99"/>
        <v>1</v>
      </c>
      <c r="T165" s="30" t="str">
        <f t="shared" si="100"/>
        <v xml:space="preserve"> </v>
      </c>
      <c r="U165" s="30" t="str">
        <f t="shared" si="101"/>
        <v xml:space="preserve"> </v>
      </c>
      <c r="V165" s="30">
        <f t="shared" si="102"/>
        <v>1</v>
      </c>
      <c r="W165" s="30" t="str">
        <f t="shared" si="102"/>
        <v xml:space="preserve"> </v>
      </c>
    </row>
    <row r="166" spans="1:23" ht="110.1" customHeight="1" x14ac:dyDescent="0.2">
      <c r="A166" s="74"/>
      <c r="B166" s="75"/>
      <c r="C166" s="41" t="s">
        <v>335</v>
      </c>
      <c r="D166" s="35"/>
      <c r="E166" s="36"/>
      <c r="F166" s="36"/>
      <c r="G166" s="36"/>
      <c r="H166" s="37"/>
      <c r="I166" s="35">
        <f t="shared" si="79"/>
        <v>12498.4</v>
      </c>
      <c r="J166" s="36"/>
      <c r="K166" s="39"/>
      <c r="L166" s="39">
        <v>12498.4</v>
      </c>
      <c r="M166" s="37"/>
      <c r="N166" s="35">
        <f t="shared" si="98"/>
        <v>12449.946</v>
      </c>
      <c r="O166" s="36"/>
      <c r="P166" s="36"/>
      <c r="Q166" s="39">
        <v>12449.946</v>
      </c>
      <c r="R166" s="37"/>
      <c r="S166" s="29">
        <f t="shared" si="99"/>
        <v>0.99612318376752229</v>
      </c>
      <c r="T166" s="30" t="str">
        <f t="shared" si="100"/>
        <v xml:space="preserve"> </v>
      </c>
      <c r="U166" s="30" t="str">
        <f t="shared" si="101"/>
        <v xml:space="preserve"> </v>
      </c>
      <c r="V166" s="30">
        <f t="shared" si="102"/>
        <v>0.99612318376752229</v>
      </c>
      <c r="W166" s="30" t="str">
        <f t="shared" si="102"/>
        <v xml:space="preserve"> </v>
      </c>
    </row>
    <row r="167" spans="1:23" ht="110.1" customHeight="1" x14ac:dyDescent="0.2">
      <c r="A167" s="74"/>
      <c r="B167" s="75"/>
      <c r="C167" s="45" t="s">
        <v>336</v>
      </c>
      <c r="D167" s="35"/>
      <c r="E167" s="36"/>
      <c r="F167" s="36"/>
      <c r="G167" s="36"/>
      <c r="H167" s="37"/>
      <c r="I167" s="35">
        <f t="shared" si="79"/>
        <v>508810.49999999988</v>
      </c>
      <c r="J167" s="36"/>
      <c r="K167" s="39">
        <v>508810.49999999988</v>
      </c>
      <c r="L167" s="39"/>
      <c r="M167" s="37"/>
      <c r="N167" s="35">
        <f t="shared" si="98"/>
        <v>307121.125</v>
      </c>
      <c r="O167" s="36"/>
      <c r="P167" s="36">
        <v>307121.125</v>
      </c>
      <c r="Q167" s="39"/>
      <c r="R167" s="37"/>
      <c r="S167" s="29">
        <f t="shared" si="99"/>
        <v>0.60360610679221449</v>
      </c>
      <c r="T167" s="30" t="str">
        <f t="shared" si="100"/>
        <v xml:space="preserve"> </v>
      </c>
      <c r="U167" s="30">
        <f t="shared" si="101"/>
        <v>0.60360610679221449</v>
      </c>
      <c r="V167" s="30" t="str">
        <f t="shared" si="102"/>
        <v xml:space="preserve"> </v>
      </c>
      <c r="W167" s="30" t="str">
        <f t="shared" si="102"/>
        <v xml:space="preserve"> </v>
      </c>
    </row>
    <row r="168" spans="1:23" ht="110.1" customHeight="1" x14ac:dyDescent="0.2">
      <c r="A168" s="74"/>
      <c r="B168" s="75"/>
      <c r="C168" s="45" t="s">
        <v>337</v>
      </c>
      <c r="D168" s="35"/>
      <c r="E168" s="36"/>
      <c r="F168" s="36"/>
      <c r="G168" s="36"/>
      <c r="H168" s="37"/>
      <c r="I168" s="35">
        <f t="shared" si="79"/>
        <v>718802.60000000009</v>
      </c>
      <c r="J168" s="36"/>
      <c r="K168" s="39">
        <v>718802.60000000009</v>
      </c>
      <c r="L168" s="39"/>
      <c r="M168" s="37"/>
      <c r="N168" s="35">
        <f t="shared" si="98"/>
        <v>677808.07299999997</v>
      </c>
      <c r="O168" s="36"/>
      <c r="P168" s="36">
        <v>677808.07299999997</v>
      </c>
      <c r="Q168" s="39"/>
      <c r="R168" s="37"/>
      <c r="S168" s="29">
        <f t="shared" si="99"/>
        <v>0.94296831007567294</v>
      </c>
      <c r="T168" s="30" t="str">
        <f t="shared" si="100"/>
        <v xml:space="preserve"> </v>
      </c>
      <c r="U168" s="30">
        <f t="shared" si="101"/>
        <v>0.94296831007567294</v>
      </c>
      <c r="V168" s="30" t="str">
        <f t="shared" si="102"/>
        <v xml:space="preserve"> </v>
      </c>
      <c r="W168" s="30" t="str">
        <f t="shared" si="102"/>
        <v xml:space="preserve"> </v>
      </c>
    </row>
    <row r="169" spans="1:23" ht="96.75" customHeight="1" x14ac:dyDescent="0.2">
      <c r="A169" s="74"/>
      <c r="B169" s="75"/>
      <c r="C169" s="45" t="s">
        <v>338</v>
      </c>
      <c r="D169" s="35"/>
      <c r="E169" s="36"/>
      <c r="F169" s="36"/>
      <c r="G169" s="36"/>
      <c r="H169" s="37"/>
      <c r="I169" s="35">
        <f t="shared" si="79"/>
        <v>768.6</v>
      </c>
      <c r="J169" s="36"/>
      <c r="K169" s="39"/>
      <c r="L169" s="39">
        <v>768.6</v>
      </c>
      <c r="M169" s="37"/>
      <c r="N169" s="35">
        <f t="shared" si="98"/>
        <v>628.20000000000005</v>
      </c>
      <c r="O169" s="36"/>
      <c r="P169" s="36"/>
      <c r="Q169" s="39">
        <v>628.20000000000005</v>
      </c>
      <c r="R169" s="37"/>
      <c r="S169" s="29">
        <f t="shared" si="99"/>
        <v>0.81733021077283374</v>
      </c>
      <c r="T169" s="30" t="str">
        <f t="shared" si="100"/>
        <v xml:space="preserve"> </v>
      </c>
      <c r="U169" s="30" t="str">
        <f t="shared" si="101"/>
        <v xml:space="preserve"> </v>
      </c>
      <c r="V169" s="30">
        <f t="shared" si="102"/>
        <v>0.81733021077283374</v>
      </c>
      <c r="W169" s="30" t="str">
        <f t="shared" si="102"/>
        <v xml:space="preserve"> </v>
      </c>
    </row>
    <row r="170" spans="1:23" ht="67.5" customHeight="1" x14ac:dyDescent="0.2">
      <c r="A170" s="74"/>
      <c r="B170" s="75"/>
      <c r="C170" s="41" t="s">
        <v>339</v>
      </c>
      <c r="D170" s="35"/>
      <c r="E170" s="36"/>
      <c r="F170" s="36"/>
      <c r="G170" s="36"/>
      <c r="H170" s="37"/>
      <c r="I170" s="35">
        <f>SUM(J170:M170)</f>
        <v>54427.1</v>
      </c>
      <c r="J170" s="36"/>
      <c r="K170" s="39">
        <v>54427.1</v>
      </c>
      <c r="L170" s="39"/>
      <c r="M170" s="37"/>
      <c r="N170" s="35">
        <f t="shared" si="98"/>
        <v>54427.076000000001</v>
      </c>
      <c r="O170" s="36"/>
      <c r="P170" s="36">
        <v>54427.076000000001</v>
      </c>
      <c r="Q170" s="36"/>
      <c r="R170" s="37"/>
      <c r="S170" s="29">
        <f t="shared" si="99"/>
        <v>0.99999955904319726</v>
      </c>
      <c r="T170" s="30" t="str">
        <f t="shared" si="100"/>
        <v xml:space="preserve"> </v>
      </c>
      <c r="U170" s="30">
        <f t="shared" si="101"/>
        <v>0.99999955904319726</v>
      </c>
      <c r="V170" s="30" t="str">
        <f t="shared" si="102"/>
        <v xml:space="preserve"> </v>
      </c>
      <c r="W170" s="30" t="str">
        <f t="shared" si="102"/>
        <v xml:space="preserve"> </v>
      </c>
    </row>
    <row r="171" spans="1:23" ht="96" customHeight="1" x14ac:dyDescent="0.2">
      <c r="A171" s="74"/>
      <c r="B171" s="75"/>
      <c r="C171" s="45" t="s">
        <v>340</v>
      </c>
      <c r="D171" s="35"/>
      <c r="E171" s="36"/>
      <c r="F171" s="36"/>
      <c r="G171" s="36"/>
      <c r="H171" s="37"/>
      <c r="I171" s="35">
        <f t="shared" ref="I171:I182" si="109">SUM(J171:M171)</f>
        <v>1596540.9</v>
      </c>
      <c r="J171" s="36"/>
      <c r="K171" s="39">
        <v>1596540.9</v>
      </c>
      <c r="L171" s="39"/>
      <c r="M171" s="37"/>
      <c r="N171" s="35">
        <f t="shared" si="98"/>
        <v>1516972.1130000001</v>
      </c>
      <c r="O171" s="36"/>
      <c r="P171" s="36">
        <v>1516972.1130000001</v>
      </c>
      <c r="Q171" s="39"/>
      <c r="R171" s="37"/>
      <c r="S171" s="29">
        <f t="shared" si="99"/>
        <v>0.95016176096710092</v>
      </c>
      <c r="T171" s="30" t="str">
        <f t="shared" si="100"/>
        <v xml:space="preserve"> </v>
      </c>
      <c r="U171" s="30">
        <f t="shared" si="101"/>
        <v>0.95016176096710092</v>
      </c>
      <c r="V171" s="30" t="str">
        <f t="shared" si="102"/>
        <v xml:space="preserve"> </v>
      </c>
      <c r="W171" s="30" t="str">
        <f t="shared" si="102"/>
        <v xml:space="preserve"> </v>
      </c>
    </row>
    <row r="172" spans="1:23" ht="110.1" customHeight="1" x14ac:dyDescent="0.2">
      <c r="A172" s="74"/>
      <c r="B172" s="75"/>
      <c r="C172" s="41" t="s">
        <v>341</v>
      </c>
      <c r="D172" s="35"/>
      <c r="E172" s="36"/>
      <c r="F172" s="36"/>
      <c r="G172" s="36"/>
      <c r="H172" s="37"/>
      <c r="I172" s="35">
        <f t="shared" si="109"/>
        <v>528602.1</v>
      </c>
      <c r="J172" s="36"/>
      <c r="K172" s="39">
        <v>528602.1</v>
      </c>
      <c r="L172" s="36"/>
      <c r="M172" s="37"/>
      <c r="N172" s="35">
        <f t="shared" si="98"/>
        <v>523343.35399999999</v>
      </c>
      <c r="O172" s="36"/>
      <c r="P172" s="36">
        <v>523343.35399999999</v>
      </c>
      <c r="Q172" s="36"/>
      <c r="R172" s="37"/>
      <c r="S172" s="29">
        <f t="shared" si="99"/>
        <v>0.99005159835725209</v>
      </c>
      <c r="T172" s="30" t="str">
        <f t="shared" si="100"/>
        <v xml:space="preserve"> </v>
      </c>
      <c r="U172" s="30">
        <f t="shared" si="101"/>
        <v>0.99005159835725209</v>
      </c>
      <c r="V172" s="30" t="str">
        <f t="shared" si="102"/>
        <v xml:space="preserve"> </v>
      </c>
      <c r="W172" s="30" t="str">
        <f t="shared" si="102"/>
        <v xml:space="preserve"> </v>
      </c>
    </row>
    <row r="173" spans="1:23" ht="95.25" customHeight="1" x14ac:dyDescent="0.2">
      <c r="A173" s="74"/>
      <c r="B173" s="75"/>
      <c r="C173" s="41" t="s">
        <v>342</v>
      </c>
      <c r="D173" s="35"/>
      <c r="E173" s="36"/>
      <c r="F173" s="36"/>
      <c r="G173" s="36"/>
      <c r="H173" s="37"/>
      <c r="I173" s="35">
        <f t="shared" si="109"/>
        <v>0.19999999995343387</v>
      </c>
      <c r="J173" s="36"/>
      <c r="K173" s="39">
        <v>0.19999999995343387</v>
      </c>
      <c r="L173" s="39"/>
      <c r="M173" s="37"/>
      <c r="N173" s="35">
        <f t="shared" si="98"/>
        <v>0</v>
      </c>
      <c r="O173" s="36"/>
      <c r="P173" s="36">
        <v>0</v>
      </c>
      <c r="Q173" s="36"/>
      <c r="R173" s="37"/>
      <c r="S173" s="29">
        <f t="shared" si="99"/>
        <v>0</v>
      </c>
      <c r="T173" s="30" t="str">
        <f t="shared" si="100"/>
        <v xml:space="preserve"> </v>
      </c>
      <c r="U173" s="30">
        <f t="shared" si="101"/>
        <v>0</v>
      </c>
      <c r="V173" s="30" t="str">
        <f t="shared" si="102"/>
        <v xml:space="preserve"> </v>
      </c>
      <c r="W173" s="30" t="str">
        <f t="shared" si="102"/>
        <v xml:space="preserve"> </v>
      </c>
    </row>
    <row r="174" spans="1:23" ht="110.1" customHeight="1" x14ac:dyDescent="0.2">
      <c r="A174" s="74"/>
      <c r="B174" s="75"/>
      <c r="C174" s="45" t="s">
        <v>343</v>
      </c>
      <c r="D174" s="35"/>
      <c r="E174" s="36"/>
      <c r="F174" s="36"/>
      <c r="G174" s="36"/>
      <c r="H174" s="37"/>
      <c r="I174" s="35">
        <f t="shared" si="109"/>
        <v>3360</v>
      </c>
      <c r="J174" s="36"/>
      <c r="K174" s="39"/>
      <c r="L174" s="39">
        <v>3360</v>
      </c>
      <c r="M174" s="37"/>
      <c r="N174" s="35">
        <f t="shared" si="98"/>
        <v>2352</v>
      </c>
      <c r="O174" s="36"/>
      <c r="P174" s="36"/>
      <c r="Q174" s="39">
        <v>2352</v>
      </c>
      <c r="R174" s="37"/>
      <c r="S174" s="29">
        <f t="shared" si="99"/>
        <v>0.7</v>
      </c>
      <c r="T174" s="30" t="str">
        <f t="shared" si="100"/>
        <v xml:space="preserve"> </v>
      </c>
      <c r="U174" s="30" t="str">
        <f t="shared" si="101"/>
        <v xml:space="preserve"> </v>
      </c>
      <c r="V174" s="30">
        <f t="shared" si="102"/>
        <v>0.7</v>
      </c>
      <c r="W174" s="30" t="str">
        <f t="shared" si="102"/>
        <v xml:space="preserve"> </v>
      </c>
    </row>
    <row r="175" spans="1:23" ht="95.25" customHeight="1" x14ac:dyDescent="0.2">
      <c r="A175" s="74"/>
      <c r="B175" s="75"/>
      <c r="C175" s="45" t="s">
        <v>344</v>
      </c>
      <c r="D175" s="35"/>
      <c r="E175" s="36"/>
      <c r="F175" s="36"/>
      <c r="G175" s="36"/>
      <c r="H175" s="37"/>
      <c r="I175" s="35">
        <f t="shared" si="109"/>
        <v>439187.99999999988</v>
      </c>
      <c r="J175" s="36"/>
      <c r="K175" s="39">
        <v>439187.99999999988</v>
      </c>
      <c r="L175" s="36"/>
      <c r="M175" s="37"/>
      <c r="N175" s="35">
        <f t="shared" si="98"/>
        <v>439187.94299999997</v>
      </c>
      <c r="O175" s="36"/>
      <c r="P175" s="36">
        <v>439187.94299999997</v>
      </c>
      <c r="Q175" s="36"/>
      <c r="R175" s="37"/>
      <c r="S175" s="29">
        <f t="shared" si="99"/>
        <v>0.99999987021503345</v>
      </c>
      <c r="T175" s="30" t="str">
        <f t="shared" si="100"/>
        <v xml:space="preserve"> </v>
      </c>
      <c r="U175" s="30">
        <f t="shared" si="101"/>
        <v>0.99999987021503345</v>
      </c>
      <c r="V175" s="30" t="str">
        <f t="shared" si="102"/>
        <v xml:space="preserve"> </v>
      </c>
      <c r="W175" s="30" t="str">
        <f t="shared" si="102"/>
        <v xml:space="preserve"> </v>
      </c>
    </row>
    <row r="176" spans="1:23" ht="79.5" customHeight="1" x14ac:dyDescent="0.2">
      <c r="A176" s="74"/>
      <c r="B176" s="75"/>
      <c r="C176" s="45" t="s">
        <v>345</v>
      </c>
      <c r="D176" s="35"/>
      <c r="E176" s="36"/>
      <c r="F176" s="36"/>
      <c r="G176" s="36"/>
      <c r="H176" s="37"/>
      <c r="I176" s="35">
        <f t="shared" si="109"/>
        <v>8072.5999999999995</v>
      </c>
      <c r="J176" s="36"/>
      <c r="K176" s="39"/>
      <c r="L176" s="39">
        <v>8072.5999999999995</v>
      </c>
      <c r="M176" s="37"/>
      <c r="N176" s="35">
        <f t="shared" si="98"/>
        <v>8072.5679999999993</v>
      </c>
      <c r="O176" s="36"/>
      <c r="P176" s="36"/>
      <c r="Q176" s="39">
        <v>8072.5679999999993</v>
      </c>
      <c r="R176" s="37"/>
      <c r="S176" s="29">
        <f t="shared" si="99"/>
        <v>0.99999603597354014</v>
      </c>
      <c r="T176" s="30" t="str">
        <f t="shared" si="100"/>
        <v xml:space="preserve"> </v>
      </c>
      <c r="U176" s="30" t="str">
        <f t="shared" si="101"/>
        <v xml:space="preserve"> </v>
      </c>
      <c r="V176" s="30">
        <f t="shared" si="102"/>
        <v>0.99999603597354014</v>
      </c>
      <c r="W176" s="30" t="str">
        <f t="shared" si="102"/>
        <v xml:space="preserve"> </v>
      </c>
    </row>
    <row r="177" spans="1:23" ht="94.5" customHeight="1" x14ac:dyDescent="0.2">
      <c r="A177" s="74"/>
      <c r="B177" s="75"/>
      <c r="C177" s="41" t="s">
        <v>346</v>
      </c>
      <c r="D177" s="35"/>
      <c r="E177" s="36"/>
      <c r="F177" s="36"/>
      <c r="G177" s="36"/>
      <c r="H177" s="37"/>
      <c r="I177" s="35">
        <f t="shared" si="109"/>
        <v>12478.7</v>
      </c>
      <c r="J177" s="36"/>
      <c r="K177" s="39"/>
      <c r="L177" s="39">
        <v>12478.7</v>
      </c>
      <c r="M177" s="37"/>
      <c r="N177" s="35">
        <f t="shared" si="98"/>
        <v>8735.0759999999991</v>
      </c>
      <c r="O177" s="36"/>
      <c r="P177" s="36"/>
      <c r="Q177" s="39">
        <v>8735.0759999999991</v>
      </c>
      <c r="R177" s="37"/>
      <c r="S177" s="29">
        <f t="shared" si="99"/>
        <v>0.69999887808826233</v>
      </c>
      <c r="T177" s="30" t="str">
        <f t="shared" si="100"/>
        <v xml:space="preserve"> </v>
      </c>
      <c r="U177" s="30" t="str">
        <f t="shared" si="101"/>
        <v xml:space="preserve"> </v>
      </c>
      <c r="V177" s="30">
        <f t="shared" si="102"/>
        <v>0.69999887808826233</v>
      </c>
      <c r="W177" s="30" t="str">
        <f t="shared" si="102"/>
        <v xml:space="preserve"> </v>
      </c>
    </row>
    <row r="178" spans="1:23" ht="110.1" customHeight="1" x14ac:dyDescent="0.2">
      <c r="A178" s="74"/>
      <c r="B178" s="75"/>
      <c r="C178" s="45" t="s">
        <v>347</v>
      </c>
      <c r="D178" s="35"/>
      <c r="E178" s="36"/>
      <c r="F178" s="36"/>
      <c r="G178" s="36"/>
      <c r="H178" s="37"/>
      <c r="I178" s="35">
        <f t="shared" si="109"/>
        <v>1586.2</v>
      </c>
      <c r="J178" s="36"/>
      <c r="K178" s="39"/>
      <c r="L178" s="39">
        <v>1586.2</v>
      </c>
      <c r="M178" s="37"/>
      <c r="N178" s="35">
        <f t="shared" si="98"/>
        <v>1586.2</v>
      </c>
      <c r="O178" s="36"/>
      <c r="P178" s="36"/>
      <c r="Q178" s="39">
        <v>1586.2</v>
      </c>
      <c r="R178" s="37"/>
      <c r="S178" s="29">
        <f t="shared" si="99"/>
        <v>1</v>
      </c>
      <c r="T178" s="30" t="str">
        <f t="shared" si="100"/>
        <v xml:space="preserve"> </v>
      </c>
      <c r="U178" s="30" t="str">
        <f t="shared" si="101"/>
        <v xml:space="preserve"> </v>
      </c>
      <c r="V178" s="30">
        <f t="shared" si="102"/>
        <v>1</v>
      </c>
      <c r="W178" s="30" t="str">
        <f t="shared" si="102"/>
        <v xml:space="preserve"> </v>
      </c>
    </row>
    <row r="179" spans="1:23" ht="78" customHeight="1" x14ac:dyDescent="0.2">
      <c r="A179" s="74"/>
      <c r="B179" s="75"/>
      <c r="C179" s="45" t="s">
        <v>348</v>
      </c>
      <c r="D179" s="35"/>
      <c r="E179" s="36"/>
      <c r="F179" s="36"/>
      <c r="G179" s="36"/>
      <c r="H179" s="37"/>
      <c r="I179" s="35">
        <f t="shared" si="109"/>
        <v>304701.7</v>
      </c>
      <c r="J179" s="36"/>
      <c r="K179" s="39">
        <v>304701.7</v>
      </c>
      <c r="L179" s="39"/>
      <c r="M179" s="37"/>
      <c r="N179" s="35">
        <f t="shared" si="98"/>
        <v>280051.04399999999</v>
      </c>
      <c r="O179" s="36"/>
      <c r="P179" s="36">
        <v>280051.04399999999</v>
      </c>
      <c r="Q179" s="39"/>
      <c r="R179" s="37"/>
      <c r="S179" s="29">
        <f t="shared" si="99"/>
        <v>0.919099053270789</v>
      </c>
      <c r="T179" s="30" t="str">
        <f t="shared" si="100"/>
        <v xml:space="preserve"> </v>
      </c>
      <c r="U179" s="30">
        <f t="shared" si="101"/>
        <v>0.919099053270789</v>
      </c>
      <c r="V179" s="30" t="str">
        <f t="shared" si="102"/>
        <v xml:space="preserve"> </v>
      </c>
      <c r="W179" s="30" t="str">
        <f t="shared" si="102"/>
        <v xml:space="preserve"> </v>
      </c>
    </row>
    <row r="180" spans="1:23" s="8" customFormat="1" ht="82.5" customHeight="1" x14ac:dyDescent="0.2">
      <c r="A180" s="74"/>
      <c r="B180" s="75"/>
      <c r="C180" s="45" t="s">
        <v>349</v>
      </c>
      <c r="D180" s="35"/>
      <c r="E180" s="36"/>
      <c r="F180" s="36"/>
      <c r="G180" s="36"/>
      <c r="H180" s="37"/>
      <c r="I180" s="35">
        <f t="shared" si="109"/>
        <v>870190.39999999991</v>
      </c>
      <c r="J180" s="36"/>
      <c r="K180" s="39">
        <v>870190.39999999991</v>
      </c>
      <c r="L180" s="39"/>
      <c r="M180" s="37"/>
      <c r="N180" s="35">
        <f t="shared" si="98"/>
        <v>829945.91300000006</v>
      </c>
      <c r="O180" s="36"/>
      <c r="P180" s="36">
        <v>829945.91300000006</v>
      </c>
      <c r="Q180" s="39"/>
      <c r="R180" s="37"/>
      <c r="S180" s="29">
        <f t="shared" si="99"/>
        <v>0.95375209034712416</v>
      </c>
      <c r="T180" s="30" t="str">
        <f t="shared" si="100"/>
        <v xml:space="preserve"> </v>
      </c>
      <c r="U180" s="30">
        <f t="shared" si="101"/>
        <v>0.95375209034712416</v>
      </c>
      <c r="V180" s="30" t="str">
        <f t="shared" si="102"/>
        <v xml:space="preserve"> </v>
      </c>
      <c r="W180" s="30" t="str">
        <f t="shared" si="102"/>
        <v xml:space="preserve"> </v>
      </c>
    </row>
    <row r="181" spans="1:23" s="8" customFormat="1" ht="80.25" customHeight="1" x14ac:dyDescent="0.2">
      <c r="A181" s="74"/>
      <c r="B181" s="75"/>
      <c r="C181" s="45" t="s">
        <v>350</v>
      </c>
      <c r="D181" s="35"/>
      <c r="E181" s="36"/>
      <c r="F181" s="36"/>
      <c r="G181" s="36"/>
      <c r="H181" s="37"/>
      <c r="I181" s="35">
        <f t="shared" si="109"/>
        <v>9949.4</v>
      </c>
      <c r="J181" s="36"/>
      <c r="K181" s="39"/>
      <c r="L181" s="39">
        <v>9949.4</v>
      </c>
      <c r="M181" s="37"/>
      <c r="N181" s="35">
        <f t="shared" si="98"/>
        <v>9927.9459999999999</v>
      </c>
      <c r="O181" s="36"/>
      <c r="P181" s="36"/>
      <c r="Q181" s="39">
        <v>9927.9459999999999</v>
      </c>
      <c r="R181" s="37"/>
      <c r="S181" s="29">
        <f t="shared" si="99"/>
        <v>0.99784368906667742</v>
      </c>
      <c r="T181" s="30" t="str">
        <f t="shared" si="100"/>
        <v xml:space="preserve"> </v>
      </c>
      <c r="U181" s="30" t="str">
        <f t="shared" si="101"/>
        <v xml:space="preserve"> </v>
      </c>
      <c r="V181" s="30">
        <f t="shared" si="102"/>
        <v>0.99784368906667742</v>
      </c>
      <c r="W181" s="30" t="str">
        <f t="shared" si="102"/>
        <v xml:space="preserve"> </v>
      </c>
    </row>
    <row r="182" spans="1:23" s="8" customFormat="1" ht="84.75" customHeight="1" x14ac:dyDescent="0.2">
      <c r="A182" s="74"/>
      <c r="B182" s="75"/>
      <c r="C182" s="45" t="s">
        <v>351</v>
      </c>
      <c r="D182" s="35"/>
      <c r="E182" s="36"/>
      <c r="F182" s="36"/>
      <c r="G182" s="36"/>
      <c r="H182" s="37"/>
      <c r="I182" s="35">
        <f t="shared" si="109"/>
        <v>6065.6</v>
      </c>
      <c r="J182" s="36"/>
      <c r="K182" s="39"/>
      <c r="L182" s="39">
        <v>6065.6</v>
      </c>
      <c r="M182" s="37"/>
      <c r="N182" s="35">
        <f t="shared" si="98"/>
        <v>6065.6</v>
      </c>
      <c r="O182" s="36"/>
      <c r="P182" s="36"/>
      <c r="Q182" s="39">
        <v>6065.6</v>
      </c>
      <c r="R182" s="37"/>
      <c r="S182" s="29">
        <f t="shared" si="99"/>
        <v>1</v>
      </c>
      <c r="T182" s="30" t="str">
        <f t="shared" si="100"/>
        <v xml:space="preserve"> </v>
      </c>
      <c r="U182" s="30" t="str">
        <f t="shared" si="101"/>
        <v xml:space="preserve"> </v>
      </c>
      <c r="V182" s="30">
        <f t="shared" si="102"/>
        <v>1</v>
      </c>
      <c r="W182" s="30" t="str">
        <f t="shared" si="102"/>
        <v xml:space="preserve"> </v>
      </c>
    </row>
    <row r="183" spans="1:23" s="8" customFormat="1" ht="99.75" customHeight="1" x14ac:dyDescent="0.2">
      <c r="A183" s="74"/>
      <c r="B183" s="75"/>
      <c r="C183" s="4" t="s">
        <v>352</v>
      </c>
      <c r="D183" s="35"/>
      <c r="E183" s="36"/>
      <c r="F183" s="36"/>
      <c r="G183" s="36"/>
      <c r="H183" s="37"/>
      <c r="I183" s="35">
        <f t="shared" ref="I183:I202" si="110">SUM(J183:M183)</f>
        <v>239304.69999999998</v>
      </c>
      <c r="J183" s="36"/>
      <c r="K183" s="39">
        <v>239304.69999999998</v>
      </c>
      <c r="L183" s="39"/>
      <c r="M183" s="37"/>
      <c r="N183" s="35">
        <f t="shared" si="98"/>
        <v>190103.022</v>
      </c>
      <c r="O183" s="36"/>
      <c r="P183" s="36">
        <v>190103.022</v>
      </c>
      <c r="Q183" s="39"/>
      <c r="R183" s="37"/>
      <c r="S183" s="29">
        <f t="shared" si="99"/>
        <v>0.7943973603527219</v>
      </c>
      <c r="T183" s="30" t="str">
        <f t="shared" si="100"/>
        <v xml:space="preserve"> </v>
      </c>
      <c r="U183" s="30">
        <f t="shared" si="101"/>
        <v>0.7943973603527219</v>
      </c>
      <c r="V183" s="30" t="str">
        <f t="shared" si="102"/>
        <v xml:space="preserve"> </v>
      </c>
      <c r="W183" s="30" t="str">
        <f t="shared" si="102"/>
        <v xml:space="preserve"> </v>
      </c>
    </row>
    <row r="184" spans="1:23" ht="83.25" customHeight="1" x14ac:dyDescent="0.2">
      <c r="A184" s="74"/>
      <c r="B184" s="75"/>
      <c r="C184" s="44" t="s">
        <v>353</v>
      </c>
      <c r="D184" s="35"/>
      <c r="E184" s="36"/>
      <c r="F184" s="36"/>
      <c r="G184" s="36"/>
      <c r="H184" s="37"/>
      <c r="I184" s="35">
        <f>SUM(J184:M184)</f>
        <v>654390.69999999995</v>
      </c>
      <c r="J184" s="36"/>
      <c r="K184" s="39">
        <v>654390.69999999995</v>
      </c>
      <c r="L184" s="39"/>
      <c r="M184" s="37"/>
      <c r="N184" s="35">
        <f t="shared" si="98"/>
        <v>654390.63299999991</v>
      </c>
      <c r="O184" s="36"/>
      <c r="P184" s="36">
        <v>654390.63299999991</v>
      </c>
      <c r="Q184" s="36"/>
      <c r="R184" s="37"/>
      <c r="S184" s="29">
        <f t="shared" si="99"/>
        <v>0.99999989761468178</v>
      </c>
      <c r="T184" s="30" t="str">
        <f t="shared" si="100"/>
        <v xml:space="preserve"> </v>
      </c>
      <c r="U184" s="30">
        <f t="shared" si="101"/>
        <v>0.99999989761468178</v>
      </c>
      <c r="V184" s="30" t="str">
        <f t="shared" si="102"/>
        <v xml:space="preserve"> </v>
      </c>
      <c r="W184" s="30" t="str">
        <f t="shared" si="102"/>
        <v xml:space="preserve"> </v>
      </c>
    </row>
    <row r="185" spans="1:23" ht="68.25" customHeight="1" x14ac:dyDescent="0.2">
      <c r="A185" s="74"/>
      <c r="B185" s="75"/>
      <c r="C185" s="44" t="s">
        <v>354</v>
      </c>
      <c r="D185" s="35"/>
      <c r="E185" s="36"/>
      <c r="F185" s="36"/>
      <c r="G185" s="36"/>
      <c r="H185" s="37"/>
      <c r="I185" s="35">
        <f>SUM(J185:M185)</f>
        <v>404113.50000000012</v>
      </c>
      <c r="J185" s="36"/>
      <c r="K185" s="39">
        <v>404113.50000000012</v>
      </c>
      <c r="L185" s="39"/>
      <c r="M185" s="37"/>
      <c r="N185" s="35">
        <f t="shared" si="98"/>
        <v>404113.43199999997</v>
      </c>
      <c r="O185" s="36"/>
      <c r="P185" s="36">
        <v>404113.43199999997</v>
      </c>
      <c r="Q185" s="36"/>
      <c r="R185" s="37"/>
      <c r="S185" s="29">
        <f t="shared" si="99"/>
        <v>0.99999983173044171</v>
      </c>
      <c r="T185" s="30" t="str">
        <f t="shared" si="100"/>
        <v xml:space="preserve"> </v>
      </c>
      <c r="U185" s="30">
        <f t="shared" si="101"/>
        <v>0.99999983173044171</v>
      </c>
      <c r="V185" s="30" t="str">
        <f t="shared" si="102"/>
        <v xml:space="preserve"> </v>
      </c>
      <c r="W185" s="30" t="str">
        <f t="shared" si="102"/>
        <v xml:space="preserve"> </v>
      </c>
    </row>
    <row r="186" spans="1:23" s="8" customFormat="1" ht="93.75" customHeight="1" x14ac:dyDescent="0.2">
      <c r="A186" s="74"/>
      <c r="B186" s="75"/>
      <c r="C186" s="45" t="s">
        <v>355</v>
      </c>
      <c r="D186" s="35"/>
      <c r="E186" s="36"/>
      <c r="F186" s="36"/>
      <c r="G186" s="36"/>
      <c r="H186" s="37"/>
      <c r="I186" s="35">
        <f t="shared" ref="I186:I189" si="111">SUM(J186:M186)</f>
        <v>33916.799999999996</v>
      </c>
      <c r="J186" s="36"/>
      <c r="K186" s="39"/>
      <c r="L186" s="39">
        <v>33916.799999999996</v>
      </c>
      <c r="M186" s="37"/>
      <c r="N186" s="35">
        <f t="shared" si="98"/>
        <v>33916.799999999996</v>
      </c>
      <c r="O186" s="36"/>
      <c r="P186" s="36"/>
      <c r="Q186" s="39">
        <v>33916.799999999996</v>
      </c>
      <c r="R186" s="37"/>
      <c r="S186" s="29">
        <f t="shared" si="99"/>
        <v>1</v>
      </c>
      <c r="T186" s="30" t="str">
        <f t="shared" si="100"/>
        <v xml:space="preserve"> </v>
      </c>
      <c r="U186" s="30" t="str">
        <f t="shared" si="101"/>
        <v xml:space="preserve"> </v>
      </c>
      <c r="V186" s="30">
        <f t="shared" si="102"/>
        <v>1</v>
      </c>
      <c r="W186" s="30" t="str">
        <f t="shared" si="102"/>
        <v xml:space="preserve"> </v>
      </c>
    </row>
    <row r="187" spans="1:23" s="8" customFormat="1" ht="80.25" customHeight="1" x14ac:dyDescent="0.2">
      <c r="A187" s="74"/>
      <c r="B187" s="75"/>
      <c r="C187" s="45" t="s">
        <v>356</v>
      </c>
      <c r="D187" s="35"/>
      <c r="E187" s="36"/>
      <c r="F187" s="36"/>
      <c r="G187" s="36"/>
      <c r="H187" s="37"/>
      <c r="I187" s="35">
        <f t="shared" si="111"/>
        <v>37855.1</v>
      </c>
      <c r="J187" s="36"/>
      <c r="K187" s="39"/>
      <c r="L187" s="39">
        <v>37855.1</v>
      </c>
      <c r="M187" s="37"/>
      <c r="N187" s="35">
        <f t="shared" si="98"/>
        <v>35533.030999999995</v>
      </c>
      <c r="O187" s="36"/>
      <c r="P187" s="36"/>
      <c r="Q187" s="39">
        <v>35533.030999999995</v>
      </c>
      <c r="R187" s="37"/>
      <c r="S187" s="29">
        <f t="shared" si="99"/>
        <v>0.93865901820362374</v>
      </c>
      <c r="T187" s="30" t="str">
        <f t="shared" si="100"/>
        <v xml:space="preserve"> </v>
      </c>
      <c r="U187" s="30" t="str">
        <f t="shared" si="101"/>
        <v xml:space="preserve"> </v>
      </c>
      <c r="V187" s="30">
        <f t="shared" si="102"/>
        <v>0.93865901820362374</v>
      </c>
      <c r="W187" s="30" t="str">
        <f t="shared" si="102"/>
        <v xml:space="preserve"> </v>
      </c>
    </row>
    <row r="188" spans="1:23" s="8" customFormat="1" ht="96" customHeight="1" x14ac:dyDescent="0.2">
      <c r="A188" s="74"/>
      <c r="B188" s="75"/>
      <c r="C188" s="4" t="s">
        <v>357</v>
      </c>
      <c r="D188" s="35"/>
      <c r="E188" s="36"/>
      <c r="F188" s="36"/>
      <c r="G188" s="36"/>
      <c r="H188" s="37"/>
      <c r="I188" s="35">
        <f t="shared" si="111"/>
        <v>1382515.4000000001</v>
      </c>
      <c r="J188" s="36"/>
      <c r="K188" s="39">
        <v>1382515.4000000001</v>
      </c>
      <c r="L188" s="36"/>
      <c r="M188" s="37"/>
      <c r="N188" s="35">
        <f t="shared" si="98"/>
        <v>1381830.9129999999</v>
      </c>
      <c r="O188" s="36"/>
      <c r="P188" s="36">
        <v>1381830.9129999999</v>
      </c>
      <c r="Q188" s="36"/>
      <c r="R188" s="37"/>
      <c r="S188" s="29">
        <f t="shared" si="99"/>
        <v>0.99950489737763482</v>
      </c>
      <c r="T188" s="30" t="str">
        <f t="shared" si="100"/>
        <v xml:space="preserve"> </v>
      </c>
      <c r="U188" s="30">
        <f t="shared" si="101"/>
        <v>0.99950489737763482</v>
      </c>
      <c r="V188" s="30" t="str">
        <f t="shared" si="102"/>
        <v xml:space="preserve"> </v>
      </c>
      <c r="W188" s="30" t="str">
        <f t="shared" si="102"/>
        <v xml:space="preserve"> </v>
      </c>
    </row>
    <row r="189" spans="1:23" s="8" customFormat="1" ht="110.1" customHeight="1" x14ac:dyDescent="0.2">
      <c r="A189" s="74"/>
      <c r="B189" s="75"/>
      <c r="C189" s="45" t="s">
        <v>358</v>
      </c>
      <c r="D189" s="35"/>
      <c r="E189" s="36"/>
      <c r="F189" s="36"/>
      <c r="G189" s="36"/>
      <c r="H189" s="37"/>
      <c r="I189" s="35">
        <f t="shared" si="111"/>
        <v>21300.799999999999</v>
      </c>
      <c r="J189" s="36"/>
      <c r="K189" s="39"/>
      <c r="L189" s="39">
        <v>21300.799999999999</v>
      </c>
      <c r="M189" s="37"/>
      <c r="N189" s="35">
        <f t="shared" si="98"/>
        <v>21300.799999999999</v>
      </c>
      <c r="O189" s="36"/>
      <c r="P189" s="36"/>
      <c r="Q189" s="39">
        <v>21300.799999999999</v>
      </c>
      <c r="R189" s="37"/>
      <c r="S189" s="29">
        <f t="shared" si="99"/>
        <v>1</v>
      </c>
      <c r="T189" s="30" t="str">
        <f t="shared" si="100"/>
        <v xml:space="preserve"> </v>
      </c>
      <c r="U189" s="30" t="str">
        <f t="shared" si="101"/>
        <v xml:space="preserve"> </v>
      </c>
      <c r="V189" s="30">
        <f t="shared" si="102"/>
        <v>1</v>
      </c>
      <c r="W189" s="30" t="str">
        <f t="shared" si="102"/>
        <v xml:space="preserve"> </v>
      </c>
    </row>
    <row r="190" spans="1:23" s="8" customFormat="1" ht="100.5" customHeight="1" x14ac:dyDescent="0.2">
      <c r="A190" s="74"/>
      <c r="B190" s="75"/>
      <c r="C190" s="4" t="s">
        <v>359</v>
      </c>
      <c r="D190" s="35"/>
      <c r="E190" s="36"/>
      <c r="F190" s="36"/>
      <c r="G190" s="36"/>
      <c r="H190" s="37"/>
      <c r="I190" s="35">
        <f t="shared" si="110"/>
        <v>540544.9</v>
      </c>
      <c r="J190" s="36"/>
      <c r="K190" s="39">
        <v>540544.9</v>
      </c>
      <c r="L190" s="39"/>
      <c r="M190" s="37"/>
      <c r="N190" s="35">
        <f t="shared" si="98"/>
        <v>538121.41600000008</v>
      </c>
      <c r="O190" s="36"/>
      <c r="P190" s="36">
        <v>538121.41600000008</v>
      </c>
      <c r="Q190" s="36"/>
      <c r="R190" s="37"/>
      <c r="S190" s="29">
        <f t="shared" si="99"/>
        <v>0.9955165907586957</v>
      </c>
      <c r="T190" s="30" t="str">
        <f t="shared" si="100"/>
        <v xml:space="preserve"> </v>
      </c>
      <c r="U190" s="30">
        <f t="shared" si="101"/>
        <v>0.9955165907586957</v>
      </c>
      <c r="V190" s="30" t="str">
        <f t="shared" si="102"/>
        <v xml:space="preserve"> </v>
      </c>
      <c r="W190" s="30" t="str">
        <f t="shared" si="102"/>
        <v xml:space="preserve"> </v>
      </c>
    </row>
    <row r="191" spans="1:23" s="8" customFormat="1" ht="110.1" customHeight="1" x14ac:dyDescent="0.2">
      <c r="A191" s="74"/>
      <c r="B191" s="75"/>
      <c r="C191" s="41" t="s">
        <v>360</v>
      </c>
      <c r="D191" s="35"/>
      <c r="E191" s="36"/>
      <c r="F191" s="36"/>
      <c r="G191" s="36"/>
      <c r="H191" s="37"/>
      <c r="I191" s="35">
        <f t="shared" si="110"/>
        <v>24199.3</v>
      </c>
      <c r="J191" s="36"/>
      <c r="K191" s="39">
        <v>24199.3</v>
      </c>
      <c r="L191" s="39"/>
      <c r="M191" s="37"/>
      <c r="N191" s="35">
        <f t="shared" si="98"/>
        <v>22954.618999999999</v>
      </c>
      <c r="O191" s="36"/>
      <c r="P191" s="36">
        <v>22954.618999999999</v>
      </c>
      <c r="Q191" s="39"/>
      <c r="R191" s="37"/>
      <c r="S191" s="29">
        <f t="shared" si="99"/>
        <v>0.94856541304913777</v>
      </c>
      <c r="T191" s="30" t="str">
        <f t="shared" si="100"/>
        <v xml:space="preserve"> </v>
      </c>
      <c r="U191" s="30">
        <f t="shared" si="101"/>
        <v>0.94856541304913777</v>
      </c>
      <c r="V191" s="30" t="str">
        <f t="shared" si="102"/>
        <v xml:space="preserve"> </v>
      </c>
      <c r="W191" s="30" t="str">
        <f t="shared" si="102"/>
        <v xml:space="preserve"> </v>
      </c>
    </row>
    <row r="192" spans="1:23" ht="87" customHeight="1" x14ac:dyDescent="0.2">
      <c r="A192" s="74"/>
      <c r="B192" s="75"/>
      <c r="C192" s="45" t="s">
        <v>361</v>
      </c>
      <c r="D192" s="35"/>
      <c r="E192" s="36"/>
      <c r="F192" s="36"/>
      <c r="G192" s="36"/>
      <c r="H192" s="37"/>
      <c r="I192" s="35">
        <f t="shared" si="110"/>
        <v>1098498.3</v>
      </c>
      <c r="J192" s="36"/>
      <c r="K192" s="39">
        <v>1098498.3</v>
      </c>
      <c r="L192" s="36"/>
      <c r="M192" s="37"/>
      <c r="N192" s="35">
        <f t="shared" si="98"/>
        <v>1098498.1615000002</v>
      </c>
      <c r="O192" s="36"/>
      <c r="P192" s="36">
        <v>1098498.1615000002</v>
      </c>
      <c r="Q192" s="36"/>
      <c r="R192" s="37"/>
      <c r="S192" s="29">
        <f t="shared" si="99"/>
        <v>0.99999987391878542</v>
      </c>
      <c r="T192" s="30" t="str">
        <f t="shared" si="100"/>
        <v xml:space="preserve"> </v>
      </c>
      <c r="U192" s="30">
        <f t="shared" si="101"/>
        <v>0.99999987391878542</v>
      </c>
      <c r="V192" s="30" t="str">
        <f t="shared" si="102"/>
        <v xml:space="preserve"> </v>
      </c>
      <c r="W192" s="30" t="str">
        <f t="shared" si="102"/>
        <v xml:space="preserve"> </v>
      </c>
    </row>
    <row r="193" spans="1:23" ht="75" customHeight="1" x14ac:dyDescent="0.2">
      <c r="A193" s="74"/>
      <c r="B193" s="75"/>
      <c r="C193" s="41" t="s">
        <v>362</v>
      </c>
      <c r="D193" s="35"/>
      <c r="E193" s="36"/>
      <c r="F193" s="36"/>
      <c r="G193" s="36"/>
      <c r="H193" s="37"/>
      <c r="I193" s="35">
        <f t="shared" si="110"/>
        <v>1109116.7</v>
      </c>
      <c r="J193" s="36"/>
      <c r="K193" s="39">
        <v>1109116.7</v>
      </c>
      <c r="L193" s="39"/>
      <c r="M193" s="37"/>
      <c r="N193" s="35">
        <f t="shared" si="98"/>
        <v>1025098.922</v>
      </c>
      <c r="O193" s="36"/>
      <c r="P193" s="36">
        <v>1025098.922</v>
      </c>
      <c r="Q193" s="39"/>
      <c r="R193" s="37"/>
      <c r="S193" s="29">
        <f t="shared" si="99"/>
        <v>0.92424802728152955</v>
      </c>
      <c r="T193" s="30" t="str">
        <f t="shared" si="100"/>
        <v xml:space="preserve"> </v>
      </c>
      <c r="U193" s="30">
        <f t="shared" si="101"/>
        <v>0.92424802728152955</v>
      </c>
      <c r="V193" s="30" t="str">
        <f t="shared" si="102"/>
        <v xml:space="preserve"> </v>
      </c>
      <c r="W193" s="30" t="str">
        <f t="shared" si="102"/>
        <v xml:space="preserve"> </v>
      </c>
    </row>
    <row r="194" spans="1:23" ht="71.25" customHeight="1" x14ac:dyDescent="0.2">
      <c r="A194" s="74"/>
      <c r="B194" s="75"/>
      <c r="C194" s="41" t="s">
        <v>363</v>
      </c>
      <c r="D194" s="35"/>
      <c r="E194" s="36"/>
      <c r="F194" s="36"/>
      <c r="G194" s="36"/>
      <c r="H194" s="37"/>
      <c r="I194" s="35">
        <f t="shared" si="110"/>
        <v>946985.99999999988</v>
      </c>
      <c r="J194" s="36"/>
      <c r="K194" s="39">
        <v>946985.99999999988</v>
      </c>
      <c r="L194" s="39"/>
      <c r="M194" s="37"/>
      <c r="N194" s="35">
        <f t="shared" si="98"/>
        <v>821417.87</v>
      </c>
      <c r="O194" s="36"/>
      <c r="P194" s="36">
        <v>821417.87</v>
      </c>
      <c r="Q194" s="39"/>
      <c r="R194" s="37"/>
      <c r="S194" s="29">
        <f t="shared" si="99"/>
        <v>0.86740233752135731</v>
      </c>
      <c r="T194" s="30" t="str">
        <f t="shared" si="100"/>
        <v xml:space="preserve"> </v>
      </c>
      <c r="U194" s="30">
        <f t="shared" si="101"/>
        <v>0.86740233752135731</v>
      </c>
      <c r="V194" s="30" t="str">
        <f t="shared" si="102"/>
        <v xml:space="preserve"> </v>
      </c>
      <c r="W194" s="30" t="str">
        <f t="shared" si="102"/>
        <v xml:space="preserve"> </v>
      </c>
    </row>
    <row r="195" spans="1:23" ht="63.75" customHeight="1" x14ac:dyDescent="0.2">
      <c r="A195" s="74"/>
      <c r="B195" s="75"/>
      <c r="C195" s="41" t="s">
        <v>364</v>
      </c>
      <c r="D195" s="35"/>
      <c r="E195" s="36"/>
      <c r="F195" s="36"/>
      <c r="G195" s="36"/>
      <c r="H195" s="37"/>
      <c r="I195" s="35">
        <f t="shared" si="110"/>
        <v>709218.8</v>
      </c>
      <c r="J195" s="36"/>
      <c r="K195" s="39">
        <v>706964.20000000007</v>
      </c>
      <c r="L195" s="39">
        <v>2254.6</v>
      </c>
      <c r="M195" s="37"/>
      <c r="N195" s="35">
        <f t="shared" si="98"/>
        <v>634681.03</v>
      </c>
      <c r="O195" s="36"/>
      <c r="P195" s="36">
        <v>632426.43000000005</v>
      </c>
      <c r="Q195" s="39">
        <v>2254.6</v>
      </c>
      <c r="R195" s="37"/>
      <c r="S195" s="29">
        <f t="shared" si="99"/>
        <v>0.8949015874931685</v>
      </c>
      <c r="T195" s="30" t="str">
        <f t="shared" si="100"/>
        <v xml:space="preserve"> </v>
      </c>
      <c r="U195" s="30">
        <f t="shared" si="101"/>
        <v>0.89456641510277324</v>
      </c>
      <c r="V195" s="30">
        <f t="shared" si="102"/>
        <v>1</v>
      </c>
      <c r="W195" s="30" t="str">
        <f t="shared" si="102"/>
        <v xml:space="preserve"> </v>
      </c>
    </row>
    <row r="196" spans="1:23" ht="81" customHeight="1" x14ac:dyDescent="0.2">
      <c r="A196" s="74"/>
      <c r="B196" s="75"/>
      <c r="C196" s="42" t="s">
        <v>365</v>
      </c>
      <c r="D196" s="35"/>
      <c r="E196" s="36"/>
      <c r="F196" s="36"/>
      <c r="G196" s="36"/>
      <c r="H196" s="37"/>
      <c r="I196" s="35">
        <f t="shared" si="110"/>
        <v>0.10000000009313226</v>
      </c>
      <c r="J196" s="36"/>
      <c r="K196" s="39">
        <v>0.10000000009313226</v>
      </c>
      <c r="L196" s="39"/>
      <c r="M196" s="37"/>
      <c r="N196" s="35">
        <f t="shared" si="98"/>
        <v>0</v>
      </c>
      <c r="O196" s="36"/>
      <c r="P196" s="36">
        <v>0</v>
      </c>
      <c r="Q196" s="39"/>
      <c r="R196" s="37"/>
      <c r="S196" s="29">
        <f t="shared" si="99"/>
        <v>0</v>
      </c>
      <c r="T196" s="30" t="str">
        <f t="shared" si="100"/>
        <v xml:space="preserve"> </v>
      </c>
      <c r="U196" s="30">
        <f t="shared" si="101"/>
        <v>0</v>
      </c>
      <c r="V196" s="30" t="str">
        <f t="shared" si="102"/>
        <v xml:space="preserve"> </v>
      </c>
      <c r="W196" s="30" t="str">
        <f t="shared" si="102"/>
        <v xml:space="preserve"> </v>
      </c>
    </row>
    <row r="197" spans="1:23" ht="87" customHeight="1" x14ac:dyDescent="0.2">
      <c r="A197" s="74"/>
      <c r="B197" s="75"/>
      <c r="C197" s="44" t="s">
        <v>366</v>
      </c>
      <c r="D197" s="35"/>
      <c r="E197" s="36"/>
      <c r="F197" s="36"/>
      <c r="G197" s="36"/>
      <c r="H197" s="37"/>
      <c r="I197" s="35">
        <f t="shared" si="110"/>
        <v>29696.9</v>
      </c>
      <c r="J197" s="36"/>
      <c r="K197" s="39">
        <v>29696.9</v>
      </c>
      <c r="L197" s="39"/>
      <c r="M197" s="37"/>
      <c r="N197" s="35">
        <f t="shared" si="98"/>
        <v>29696.867999999999</v>
      </c>
      <c r="O197" s="36"/>
      <c r="P197" s="36">
        <v>29696.867999999999</v>
      </c>
      <c r="Q197" s="39"/>
      <c r="R197" s="37"/>
      <c r="S197" s="29">
        <f t="shared" si="99"/>
        <v>0.9999989224464505</v>
      </c>
      <c r="T197" s="30" t="str">
        <f t="shared" si="100"/>
        <v xml:space="preserve"> </v>
      </c>
      <c r="U197" s="30">
        <f t="shared" si="101"/>
        <v>0.9999989224464505</v>
      </c>
      <c r="V197" s="30" t="str">
        <f t="shared" si="102"/>
        <v xml:space="preserve"> </v>
      </c>
      <c r="W197" s="30" t="str">
        <f t="shared" si="102"/>
        <v xml:space="preserve"> </v>
      </c>
    </row>
    <row r="198" spans="1:23" ht="98.25" customHeight="1" x14ac:dyDescent="0.2">
      <c r="A198" s="74"/>
      <c r="B198" s="75"/>
      <c r="C198" s="44" t="s">
        <v>367</v>
      </c>
      <c r="D198" s="35"/>
      <c r="E198" s="36"/>
      <c r="F198" s="36"/>
      <c r="G198" s="36"/>
      <c r="H198" s="37"/>
      <c r="I198" s="35">
        <f t="shared" si="110"/>
        <v>444085.2</v>
      </c>
      <c r="J198" s="36"/>
      <c r="K198" s="39">
        <v>444085.2</v>
      </c>
      <c r="L198" s="39"/>
      <c r="M198" s="37"/>
      <c r="N198" s="35">
        <f t="shared" si="98"/>
        <v>443842.47599999997</v>
      </c>
      <c r="O198" s="36"/>
      <c r="P198" s="36">
        <v>443842.47599999997</v>
      </c>
      <c r="Q198" s="39"/>
      <c r="R198" s="37"/>
      <c r="S198" s="29">
        <f t="shared" si="99"/>
        <v>0.99945342920682778</v>
      </c>
      <c r="T198" s="30" t="str">
        <f t="shared" si="100"/>
        <v xml:space="preserve"> </v>
      </c>
      <c r="U198" s="30">
        <f t="shared" si="101"/>
        <v>0.99945342920682778</v>
      </c>
      <c r="V198" s="30" t="str">
        <f t="shared" si="102"/>
        <v xml:space="preserve"> </v>
      </c>
      <c r="W198" s="30" t="str">
        <f t="shared" si="102"/>
        <v xml:space="preserve"> </v>
      </c>
    </row>
    <row r="199" spans="1:23" ht="86.25" customHeight="1" x14ac:dyDescent="0.2">
      <c r="A199" s="74"/>
      <c r="B199" s="75"/>
      <c r="C199" s="44" t="s">
        <v>368</v>
      </c>
      <c r="D199" s="35"/>
      <c r="E199" s="36"/>
      <c r="F199" s="36"/>
      <c r="G199" s="36"/>
      <c r="H199" s="37"/>
      <c r="I199" s="35">
        <f>SUM(J199:M199)</f>
        <v>59131.4</v>
      </c>
      <c r="J199" s="36"/>
      <c r="K199" s="39">
        <v>59131.4</v>
      </c>
      <c r="L199" s="39"/>
      <c r="M199" s="37"/>
      <c r="N199" s="35">
        <f t="shared" si="98"/>
        <v>2306.0500000000002</v>
      </c>
      <c r="O199" s="36"/>
      <c r="P199" s="36">
        <v>2306.0500000000002</v>
      </c>
      <c r="Q199" s="39"/>
      <c r="R199" s="37"/>
      <c r="S199" s="29">
        <f t="shared" si="99"/>
        <v>3.899873840294666E-2</v>
      </c>
      <c r="T199" s="30" t="str">
        <f t="shared" si="100"/>
        <v xml:space="preserve"> </v>
      </c>
      <c r="U199" s="30">
        <f t="shared" si="101"/>
        <v>3.899873840294666E-2</v>
      </c>
      <c r="V199" s="30" t="str">
        <f t="shared" si="102"/>
        <v xml:space="preserve"> </v>
      </c>
      <c r="W199" s="30" t="str">
        <f t="shared" si="102"/>
        <v xml:space="preserve"> </v>
      </c>
    </row>
    <row r="200" spans="1:23" ht="89.25" customHeight="1" x14ac:dyDescent="0.2">
      <c r="A200" s="74"/>
      <c r="B200" s="75"/>
      <c r="C200" s="42" t="s">
        <v>369</v>
      </c>
      <c r="D200" s="35"/>
      <c r="E200" s="36"/>
      <c r="F200" s="36"/>
      <c r="G200" s="36"/>
      <c r="H200" s="37"/>
      <c r="I200" s="35">
        <f t="shared" ref="I200:I201" si="112">SUM(J200:M200)</f>
        <v>1348.3</v>
      </c>
      <c r="J200" s="36"/>
      <c r="K200" s="39"/>
      <c r="L200" s="39">
        <v>1348.3</v>
      </c>
      <c r="M200" s="37"/>
      <c r="N200" s="35">
        <f t="shared" si="98"/>
        <v>1348.3</v>
      </c>
      <c r="O200" s="36"/>
      <c r="P200" s="36"/>
      <c r="Q200" s="39">
        <v>1348.3</v>
      </c>
      <c r="R200" s="37"/>
      <c r="S200" s="29">
        <f t="shared" si="99"/>
        <v>1</v>
      </c>
      <c r="T200" s="30" t="str">
        <f t="shared" si="100"/>
        <v xml:space="preserve"> </v>
      </c>
      <c r="U200" s="30" t="str">
        <f t="shared" si="101"/>
        <v xml:space="preserve"> </v>
      </c>
      <c r="V200" s="30">
        <f t="shared" si="102"/>
        <v>1</v>
      </c>
      <c r="W200" s="30" t="str">
        <f t="shared" si="102"/>
        <v xml:space="preserve"> </v>
      </c>
    </row>
    <row r="201" spans="1:23" ht="101.25" customHeight="1" x14ac:dyDescent="0.2">
      <c r="A201" s="74"/>
      <c r="B201" s="75"/>
      <c r="C201" s="42" t="s">
        <v>370</v>
      </c>
      <c r="D201" s="35"/>
      <c r="E201" s="36"/>
      <c r="F201" s="36"/>
      <c r="G201" s="36"/>
      <c r="H201" s="37"/>
      <c r="I201" s="35">
        <f t="shared" si="112"/>
        <v>6323.8</v>
      </c>
      <c r="J201" s="36"/>
      <c r="K201" s="39"/>
      <c r="L201" s="39">
        <v>6323.8</v>
      </c>
      <c r="M201" s="37"/>
      <c r="N201" s="35">
        <f t="shared" si="98"/>
        <v>6308.7870000000003</v>
      </c>
      <c r="O201" s="36"/>
      <c r="P201" s="36"/>
      <c r="Q201" s="39">
        <v>6308.7870000000003</v>
      </c>
      <c r="R201" s="37"/>
      <c r="S201" s="29">
        <f t="shared" si="99"/>
        <v>0.99762595274992882</v>
      </c>
      <c r="T201" s="30" t="str">
        <f t="shared" si="100"/>
        <v xml:space="preserve"> </v>
      </c>
      <c r="U201" s="30" t="str">
        <f t="shared" si="101"/>
        <v xml:space="preserve"> </v>
      </c>
      <c r="V201" s="30">
        <f t="shared" si="102"/>
        <v>0.99762595274992882</v>
      </c>
      <c r="W201" s="30" t="str">
        <f t="shared" si="102"/>
        <v xml:space="preserve"> </v>
      </c>
    </row>
    <row r="202" spans="1:23" ht="84.75" customHeight="1" x14ac:dyDescent="0.2">
      <c r="A202" s="74"/>
      <c r="B202" s="75"/>
      <c r="C202" s="41" t="s">
        <v>371</v>
      </c>
      <c r="D202" s="35"/>
      <c r="E202" s="36"/>
      <c r="F202" s="36"/>
      <c r="G202" s="36"/>
      <c r="H202" s="37"/>
      <c r="I202" s="35">
        <f t="shared" si="110"/>
        <v>291393.90000000002</v>
      </c>
      <c r="J202" s="36"/>
      <c r="K202" s="39">
        <v>291393.90000000002</v>
      </c>
      <c r="L202" s="39"/>
      <c r="M202" s="37"/>
      <c r="N202" s="35">
        <f t="shared" si="98"/>
        <v>275807.33999999997</v>
      </c>
      <c r="O202" s="36"/>
      <c r="P202" s="36">
        <v>275807.33999999997</v>
      </c>
      <c r="Q202" s="39"/>
      <c r="R202" s="37"/>
      <c r="S202" s="29">
        <f t="shared" si="99"/>
        <v>0.94651034218629815</v>
      </c>
      <c r="T202" s="30" t="str">
        <f t="shared" si="100"/>
        <v xml:space="preserve"> </v>
      </c>
      <c r="U202" s="30">
        <f t="shared" si="101"/>
        <v>0.94651034218629815</v>
      </c>
      <c r="V202" s="30" t="str">
        <f t="shared" si="102"/>
        <v xml:space="preserve"> </v>
      </c>
      <c r="W202" s="30" t="str">
        <f t="shared" si="102"/>
        <v xml:space="preserve"> </v>
      </c>
    </row>
    <row r="203" spans="1:23" s="38" customFormat="1" ht="38.25" customHeight="1" x14ac:dyDescent="0.2">
      <c r="A203" s="72"/>
      <c r="B203" s="76"/>
      <c r="C203" s="48" t="s">
        <v>831</v>
      </c>
      <c r="D203" s="5"/>
      <c r="E203" s="6"/>
      <c r="F203" s="6"/>
      <c r="G203" s="6"/>
      <c r="H203" s="7"/>
      <c r="I203" s="5">
        <f>SUM(J203:M203)</f>
        <v>21539793.900000002</v>
      </c>
      <c r="J203" s="6">
        <f>SUM(J204:J270)</f>
        <v>2709921.3</v>
      </c>
      <c r="K203" s="6">
        <f t="shared" ref="K203" si="113">SUM(K204:K270)</f>
        <v>18528229</v>
      </c>
      <c r="L203" s="6">
        <f t="shared" ref="L203" si="114">SUM(L204:L270)</f>
        <v>301643.59999999992</v>
      </c>
      <c r="M203" s="7">
        <f t="shared" ref="M203" si="115">SUM(M204:M270)</f>
        <v>0</v>
      </c>
      <c r="N203" s="5">
        <f>SUM(O203:R203)</f>
        <v>19750316.582400002</v>
      </c>
      <c r="O203" s="6">
        <f>SUM(O204:O270)</f>
        <v>2657132.0959999999</v>
      </c>
      <c r="P203" s="6">
        <f t="shared" ref="P203" si="116">SUM(P204:P270)</f>
        <v>16819094.5394</v>
      </c>
      <c r="Q203" s="6">
        <f t="shared" ref="Q203" si="117">SUM(Q204:Q270)</f>
        <v>274089.94700000004</v>
      </c>
      <c r="R203" s="7">
        <f t="shared" ref="R203" si="118">SUM(R204:R270)</f>
        <v>0</v>
      </c>
      <c r="S203" s="26">
        <f t="shared" si="99"/>
        <v>0.91692226369909691</v>
      </c>
      <c r="T203" s="27">
        <f t="shared" si="100"/>
        <v>0.98052002321986254</v>
      </c>
      <c r="U203" s="27">
        <f t="shared" si="101"/>
        <v>0.90775510921200298</v>
      </c>
      <c r="V203" s="27">
        <f t="shared" si="102"/>
        <v>0.90865493914009821</v>
      </c>
      <c r="W203" s="27" t="str">
        <f t="shared" si="102"/>
        <v xml:space="preserve"> </v>
      </c>
    </row>
    <row r="204" spans="1:23" ht="102" customHeight="1" x14ac:dyDescent="0.2">
      <c r="A204" s="74"/>
      <c r="B204" s="75"/>
      <c r="C204" s="42" t="s">
        <v>372</v>
      </c>
      <c r="D204" s="35"/>
      <c r="E204" s="36"/>
      <c r="F204" s="36"/>
      <c r="G204" s="36"/>
      <c r="H204" s="37"/>
      <c r="I204" s="35">
        <f t="shared" ref="I204:I255" si="119">SUM(J204:M204)</f>
        <v>585.70000000000005</v>
      </c>
      <c r="J204" s="36"/>
      <c r="K204" s="36"/>
      <c r="L204" s="39">
        <v>585.70000000000005</v>
      </c>
      <c r="M204" s="37"/>
      <c r="N204" s="35">
        <f t="shared" ref="N204:N217" si="120">SUM(O204:R204)</f>
        <v>427.26</v>
      </c>
      <c r="O204" s="36"/>
      <c r="P204" s="36"/>
      <c r="Q204" s="39">
        <v>427.26</v>
      </c>
      <c r="R204" s="37"/>
      <c r="S204" s="29">
        <f t="shared" si="99"/>
        <v>0.72948608502646395</v>
      </c>
      <c r="T204" s="30" t="str">
        <f t="shared" si="100"/>
        <v xml:space="preserve"> </v>
      </c>
      <c r="U204" s="30" t="str">
        <f t="shared" si="101"/>
        <v xml:space="preserve"> </v>
      </c>
      <c r="V204" s="30">
        <f t="shared" si="102"/>
        <v>0.72948608502646395</v>
      </c>
      <c r="W204" s="30" t="str">
        <f t="shared" si="102"/>
        <v xml:space="preserve"> </v>
      </c>
    </row>
    <row r="205" spans="1:23" ht="48" customHeight="1" x14ac:dyDescent="0.2">
      <c r="A205" s="74"/>
      <c r="B205" s="75"/>
      <c r="C205" s="45" t="s">
        <v>373</v>
      </c>
      <c r="D205" s="35"/>
      <c r="E205" s="36"/>
      <c r="F205" s="36"/>
      <c r="G205" s="36"/>
      <c r="H205" s="37"/>
      <c r="I205" s="35">
        <f t="shared" si="119"/>
        <v>1246984.6000000001</v>
      </c>
      <c r="J205" s="39">
        <v>1234609.6000000001</v>
      </c>
      <c r="K205" s="39"/>
      <c r="L205" s="39">
        <v>12375</v>
      </c>
      <c r="M205" s="37"/>
      <c r="N205" s="35">
        <f t="shared" si="120"/>
        <v>1246984.456</v>
      </c>
      <c r="O205" s="36">
        <v>1234609.456</v>
      </c>
      <c r="P205" s="36"/>
      <c r="Q205" s="39">
        <v>12375</v>
      </c>
      <c r="R205" s="37"/>
      <c r="S205" s="29">
        <f t="shared" si="99"/>
        <v>0.99999988452142863</v>
      </c>
      <c r="T205" s="30">
        <f t="shared" si="100"/>
        <v>0.99999988336393941</v>
      </c>
      <c r="U205" s="30" t="str">
        <f t="shared" si="101"/>
        <v xml:space="preserve"> </v>
      </c>
      <c r="V205" s="30">
        <f t="shared" si="102"/>
        <v>1</v>
      </c>
      <c r="W205" s="30" t="str">
        <f t="shared" si="102"/>
        <v xml:space="preserve"> </v>
      </c>
    </row>
    <row r="206" spans="1:23" ht="60" customHeight="1" x14ac:dyDescent="0.2">
      <c r="A206" s="74"/>
      <c r="B206" s="75"/>
      <c r="C206" s="41" t="s">
        <v>374</v>
      </c>
      <c r="D206" s="35"/>
      <c r="E206" s="36"/>
      <c r="F206" s="36"/>
      <c r="G206" s="36"/>
      <c r="H206" s="37"/>
      <c r="I206" s="35">
        <f t="shared" si="119"/>
        <v>59767.700000000004</v>
      </c>
      <c r="J206" s="36"/>
      <c r="K206" s="39">
        <v>57741.9</v>
      </c>
      <c r="L206" s="39">
        <v>2025.8000000000002</v>
      </c>
      <c r="M206" s="37"/>
      <c r="N206" s="35">
        <f t="shared" si="120"/>
        <v>59767.557000000001</v>
      </c>
      <c r="O206" s="36"/>
      <c r="P206" s="36">
        <v>57741.830999999998</v>
      </c>
      <c r="Q206" s="39">
        <v>2025.7260000000001</v>
      </c>
      <c r="R206" s="37"/>
      <c r="S206" s="29">
        <f t="shared" si="99"/>
        <v>0.99999760740332988</v>
      </c>
      <c r="T206" s="30" t="str">
        <f t="shared" si="100"/>
        <v xml:space="preserve"> </v>
      </c>
      <c r="U206" s="30">
        <f t="shared" si="101"/>
        <v>0.99999880502719851</v>
      </c>
      <c r="V206" s="30">
        <f t="shared" si="102"/>
        <v>0.99996347122124585</v>
      </c>
      <c r="W206" s="30" t="str">
        <f t="shared" si="102"/>
        <v xml:space="preserve"> </v>
      </c>
    </row>
    <row r="207" spans="1:23" ht="67.5" customHeight="1" x14ac:dyDescent="0.2">
      <c r="A207" s="74"/>
      <c r="B207" s="75"/>
      <c r="C207" s="41" t="s">
        <v>375</v>
      </c>
      <c r="D207" s="35"/>
      <c r="E207" s="36"/>
      <c r="F207" s="36"/>
      <c r="G207" s="36"/>
      <c r="H207" s="37"/>
      <c r="I207" s="35">
        <f t="shared" si="119"/>
        <v>7888.0999999999995</v>
      </c>
      <c r="J207" s="36"/>
      <c r="K207" s="39"/>
      <c r="L207" s="39">
        <v>7888.0999999999995</v>
      </c>
      <c r="M207" s="37"/>
      <c r="N207" s="35">
        <f t="shared" si="120"/>
        <v>7888.0480000000007</v>
      </c>
      <c r="O207" s="36"/>
      <c r="P207" s="36"/>
      <c r="Q207" s="39">
        <v>7888.0480000000007</v>
      </c>
      <c r="R207" s="37"/>
      <c r="S207" s="29">
        <f t="shared" si="99"/>
        <v>0.99999340779148349</v>
      </c>
      <c r="T207" s="30" t="str">
        <f t="shared" si="100"/>
        <v xml:space="preserve"> </v>
      </c>
      <c r="U207" s="30" t="str">
        <f t="shared" si="101"/>
        <v xml:space="preserve"> </v>
      </c>
      <c r="V207" s="30">
        <f t="shared" si="102"/>
        <v>0.99999340779148349</v>
      </c>
      <c r="W207" s="30" t="str">
        <f t="shared" si="102"/>
        <v xml:space="preserve"> </v>
      </c>
    </row>
    <row r="208" spans="1:23" ht="80.25" customHeight="1" x14ac:dyDescent="0.2">
      <c r="A208" s="74"/>
      <c r="B208" s="75"/>
      <c r="C208" s="41" t="s">
        <v>376</v>
      </c>
      <c r="D208" s="35"/>
      <c r="E208" s="36"/>
      <c r="F208" s="36"/>
      <c r="G208" s="36"/>
      <c r="H208" s="37"/>
      <c r="I208" s="35">
        <f t="shared" si="119"/>
        <v>16124</v>
      </c>
      <c r="J208" s="36"/>
      <c r="K208" s="39">
        <v>16124</v>
      </c>
      <c r="L208" s="39"/>
      <c r="M208" s="37"/>
      <c r="N208" s="35">
        <f t="shared" si="120"/>
        <v>16123.971</v>
      </c>
      <c r="O208" s="36"/>
      <c r="P208" s="36">
        <v>16123.971</v>
      </c>
      <c r="Q208" s="39"/>
      <c r="R208" s="37"/>
      <c r="S208" s="29">
        <f t="shared" si="99"/>
        <v>0.99999820143884888</v>
      </c>
      <c r="T208" s="30" t="str">
        <f t="shared" si="100"/>
        <v xml:space="preserve"> </v>
      </c>
      <c r="U208" s="30">
        <f t="shared" si="101"/>
        <v>0.99999820143884888</v>
      </c>
      <c r="V208" s="30" t="str">
        <f t="shared" si="102"/>
        <v xml:space="preserve"> </v>
      </c>
      <c r="W208" s="30" t="str">
        <f t="shared" si="102"/>
        <v xml:space="preserve"> </v>
      </c>
    </row>
    <row r="209" spans="1:23" ht="69" customHeight="1" x14ac:dyDescent="0.2">
      <c r="A209" s="74"/>
      <c r="B209" s="75"/>
      <c r="C209" s="42" t="s">
        <v>377</v>
      </c>
      <c r="D209" s="35"/>
      <c r="E209" s="36"/>
      <c r="F209" s="36"/>
      <c r="G209" s="36"/>
      <c r="H209" s="37"/>
      <c r="I209" s="35">
        <f t="shared" si="119"/>
        <v>2280</v>
      </c>
      <c r="J209" s="36"/>
      <c r="K209" s="39"/>
      <c r="L209" s="39">
        <v>2280</v>
      </c>
      <c r="M209" s="37"/>
      <c r="N209" s="35">
        <f t="shared" si="120"/>
        <v>1596</v>
      </c>
      <c r="O209" s="36"/>
      <c r="P209" s="36"/>
      <c r="Q209" s="36">
        <v>1596</v>
      </c>
      <c r="R209" s="37"/>
      <c r="S209" s="29">
        <f t="shared" si="99"/>
        <v>0.7</v>
      </c>
      <c r="T209" s="30" t="str">
        <f t="shared" si="100"/>
        <v xml:space="preserve"> </v>
      </c>
      <c r="U209" s="30" t="str">
        <f t="shared" si="101"/>
        <v xml:space="preserve"> </v>
      </c>
      <c r="V209" s="30">
        <f t="shared" si="102"/>
        <v>0.7</v>
      </c>
      <c r="W209" s="30" t="str">
        <f t="shared" si="102"/>
        <v xml:space="preserve"> </v>
      </c>
    </row>
    <row r="210" spans="1:23" ht="60.75" customHeight="1" x14ac:dyDescent="0.2">
      <c r="A210" s="74"/>
      <c r="B210" s="75"/>
      <c r="C210" s="50" t="s">
        <v>378</v>
      </c>
      <c r="D210" s="35"/>
      <c r="E210" s="36"/>
      <c r="F210" s="36"/>
      <c r="G210" s="36"/>
      <c r="H210" s="37"/>
      <c r="I210" s="35">
        <f t="shared" si="119"/>
        <v>46881.600000000006</v>
      </c>
      <c r="J210" s="36"/>
      <c r="K210" s="39">
        <v>44394.200000000004</v>
      </c>
      <c r="L210" s="39">
        <v>2487.4</v>
      </c>
      <c r="M210" s="37"/>
      <c r="N210" s="35">
        <f t="shared" si="120"/>
        <v>46881.399999999994</v>
      </c>
      <c r="O210" s="36"/>
      <c r="P210" s="36">
        <v>44394.092999999993</v>
      </c>
      <c r="Q210" s="39">
        <v>2487.3070000000002</v>
      </c>
      <c r="R210" s="37"/>
      <c r="S210" s="29">
        <f t="shared" si="99"/>
        <v>0.99999573393399521</v>
      </c>
      <c r="T210" s="30" t="str">
        <f t="shared" si="100"/>
        <v xml:space="preserve"> </v>
      </c>
      <c r="U210" s="30">
        <f t="shared" si="101"/>
        <v>0.99999758977524067</v>
      </c>
      <c r="V210" s="30">
        <f t="shared" si="102"/>
        <v>0.99996261156227395</v>
      </c>
      <c r="W210" s="30" t="str">
        <f t="shared" si="102"/>
        <v xml:space="preserve"> </v>
      </c>
    </row>
    <row r="211" spans="1:23" ht="62.25" customHeight="1" x14ac:dyDescent="0.2">
      <c r="A211" s="74"/>
      <c r="B211" s="75"/>
      <c r="C211" s="50" t="s">
        <v>379</v>
      </c>
      <c r="D211" s="35"/>
      <c r="E211" s="36"/>
      <c r="F211" s="36"/>
      <c r="G211" s="36"/>
      <c r="H211" s="37"/>
      <c r="I211" s="35">
        <f t="shared" si="119"/>
        <v>23401.5</v>
      </c>
      <c r="J211" s="36"/>
      <c r="K211" s="39">
        <v>23035</v>
      </c>
      <c r="L211" s="39">
        <v>366.5</v>
      </c>
      <c r="M211" s="37"/>
      <c r="N211" s="35">
        <f t="shared" si="120"/>
        <v>15321.403</v>
      </c>
      <c r="O211" s="36"/>
      <c r="P211" s="36">
        <v>14954.989</v>
      </c>
      <c r="Q211" s="39">
        <v>366.41399999999999</v>
      </c>
      <c r="R211" s="37"/>
      <c r="S211" s="29">
        <f t="shared" si="99"/>
        <v>0.65471884280922166</v>
      </c>
      <c r="T211" s="30" t="str">
        <f t="shared" si="100"/>
        <v xml:space="preserve"> </v>
      </c>
      <c r="U211" s="30">
        <f t="shared" si="101"/>
        <v>0.64922895593661822</v>
      </c>
      <c r="V211" s="30">
        <f t="shared" si="102"/>
        <v>0.99976534788540239</v>
      </c>
      <c r="W211" s="30" t="str">
        <f t="shared" si="102"/>
        <v xml:space="preserve"> </v>
      </c>
    </row>
    <row r="212" spans="1:23" ht="59.25" customHeight="1" x14ac:dyDescent="0.2">
      <c r="A212" s="74"/>
      <c r="B212" s="75"/>
      <c r="C212" s="41" t="s">
        <v>380</v>
      </c>
      <c r="D212" s="35"/>
      <c r="E212" s="36"/>
      <c r="F212" s="36"/>
      <c r="G212" s="36"/>
      <c r="H212" s="37"/>
      <c r="I212" s="35">
        <f t="shared" si="119"/>
        <v>18327</v>
      </c>
      <c r="J212" s="36"/>
      <c r="K212" s="39"/>
      <c r="L212" s="39">
        <v>18327</v>
      </c>
      <c r="M212" s="37"/>
      <c r="N212" s="35">
        <f t="shared" si="120"/>
        <v>18326.824000000001</v>
      </c>
      <c r="O212" s="36"/>
      <c r="P212" s="36"/>
      <c r="Q212" s="39">
        <v>18326.824000000001</v>
      </c>
      <c r="R212" s="37"/>
      <c r="S212" s="29">
        <f t="shared" si="99"/>
        <v>0.99999039668249035</v>
      </c>
      <c r="T212" s="30" t="str">
        <f t="shared" si="100"/>
        <v xml:space="preserve"> </v>
      </c>
      <c r="U212" s="30" t="str">
        <f t="shared" si="101"/>
        <v xml:space="preserve"> </v>
      </c>
      <c r="V212" s="30">
        <f t="shared" si="102"/>
        <v>0.99999039668249035</v>
      </c>
      <c r="W212" s="30" t="str">
        <f t="shared" si="102"/>
        <v xml:space="preserve"> </v>
      </c>
    </row>
    <row r="213" spans="1:23" ht="83.25" customHeight="1" x14ac:dyDescent="0.2">
      <c r="A213" s="74"/>
      <c r="B213" s="75"/>
      <c r="C213" s="41" t="s">
        <v>381</v>
      </c>
      <c r="D213" s="35"/>
      <c r="E213" s="36"/>
      <c r="F213" s="36"/>
      <c r="G213" s="36"/>
      <c r="H213" s="37"/>
      <c r="I213" s="35">
        <f t="shared" si="119"/>
        <v>6355</v>
      </c>
      <c r="J213" s="36"/>
      <c r="K213" s="39"/>
      <c r="L213" s="39">
        <v>6355</v>
      </c>
      <c r="M213" s="37"/>
      <c r="N213" s="35">
        <f t="shared" si="120"/>
        <v>6354.9650000000001</v>
      </c>
      <c r="O213" s="36"/>
      <c r="P213" s="36"/>
      <c r="Q213" s="39">
        <v>6354.9650000000001</v>
      </c>
      <c r="R213" s="37"/>
      <c r="S213" s="29">
        <f t="shared" si="99"/>
        <v>0.99999449252557049</v>
      </c>
      <c r="T213" s="30" t="str">
        <f t="shared" si="100"/>
        <v xml:space="preserve"> </v>
      </c>
      <c r="U213" s="30" t="str">
        <f t="shared" si="101"/>
        <v xml:space="preserve"> </v>
      </c>
      <c r="V213" s="30">
        <f t="shared" si="102"/>
        <v>0.99999449252557049</v>
      </c>
      <c r="W213" s="30" t="str">
        <f t="shared" si="102"/>
        <v xml:space="preserve"> </v>
      </c>
    </row>
    <row r="214" spans="1:23" ht="84.75" customHeight="1" x14ac:dyDescent="0.2">
      <c r="A214" s="74"/>
      <c r="B214" s="75"/>
      <c r="C214" s="45" t="s">
        <v>383</v>
      </c>
      <c r="D214" s="35"/>
      <c r="E214" s="36"/>
      <c r="F214" s="36"/>
      <c r="G214" s="36"/>
      <c r="H214" s="37"/>
      <c r="I214" s="35">
        <f t="shared" si="119"/>
        <v>348870.2</v>
      </c>
      <c r="J214" s="36"/>
      <c r="K214" s="39">
        <v>348870.2</v>
      </c>
      <c r="L214" s="39"/>
      <c r="M214" s="37"/>
      <c r="N214" s="35">
        <f t="shared" si="120"/>
        <v>348870.18799999997</v>
      </c>
      <c r="O214" s="36"/>
      <c r="P214" s="36">
        <v>348870.18799999997</v>
      </c>
      <c r="Q214" s="39"/>
      <c r="R214" s="37"/>
      <c r="S214" s="29">
        <f t="shared" si="99"/>
        <v>0.99999996560325288</v>
      </c>
      <c r="T214" s="30" t="str">
        <f t="shared" si="100"/>
        <v xml:space="preserve"> </v>
      </c>
      <c r="U214" s="30">
        <f t="shared" si="101"/>
        <v>0.99999996560325288</v>
      </c>
      <c r="V214" s="30" t="str">
        <f t="shared" si="102"/>
        <v xml:space="preserve"> </v>
      </c>
      <c r="W214" s="30" t="str">
        <f t="shared" si="102"/>
        <v xml:space="preserve"> </v>
      </c>
    </row>
    <row r="215" spans="1:23" ht="147.75" customHeight="1" x14ac:dyDescent="0.2">
      <c r="A215" s="74"/>
      <c r="B215" s="75"/>
      <c r="C215" s="45" t="s">
        <v>382</v>
      </c>
      <c r="D215" s="35"/>
      <c r="E215" s="36"/>
      <c r="F215" s="36"/>
      <c r="G215" s="36"/>
      <c r="H215" s="37"/>
      <c r="I215" s="35">
        <f>SUM(J215:M215)</f>
        <v>280758</v>
      </c>
      <c r="J215" s="36"/>
      <c r="K215" s="39">
        <f>261609.9+19148.1</f>
        <v>280758</v>
      </c>
      <c r="L215" s="39"/>
      <c r="M215" s="37"/>
      <c r="N215" s="35">
        <f>SUM(O215:R215)</f>
        <v>280328.13199999998</v>
      </c>
      <c r="O215" s="36"/>
      <c r="P215" s="36">
        <f>278148.089+2180.043</f>
        <v>280328.13199999998</v>
      </c>
      <c r="Q215" s="39"/>
      <c r="R215" s="37"/>
      <c r="S215" s="29">
        <f t="shared" si="99"/>
        <v>0.99846890204375294</v>
      </c>
      <c r="T215" s="30" t="str">
        <f t="shared" si="100"/>
        <v xml:space="preserve"> </v>
      </c>
      <c r="U215" s="30">
        <f t="shared" si="101"/>
        <v>0.99846890204375294</v>
      </c>
      <c r="V215" s="30" t="str">
        <f t="shared" si="102"/>
        <v xml:space="preserve"> </v>
      </c>
      <c r="W215" s="30" t="str">
        <f t="shared" si="102"/>
        <v xml:space="preserve"> </v>
      </c>
    </row>
    <row r="216" spans="1:23" ht="80.25" customHeight="1" x14ac:dyDescent="0.2">
      <c r="A216" s="74"/>
      <c r="B216" s="75"/>
      <c r="C216" s="41" t="s">
        <v>384</v>
      </c>
      <c r="D216" s="35"/>
      <c r="E216" s="36"/>
      <c r="F216" s="36"/>
      <c r="G216" s="36"/>
      <c r="H216" s="37"/>
      <c r="I216" s="35">
        <f t="shared" si="119"/>
        <v>6011.2</v>
      </c>
      <c r="J216" s="36"/>
      <c r="K216" s="39"/>
      <c r="L216" s="39">
        <v>6011.2</v>
      </c>
      <c r="M216" s="37"/>
      <c r="N216" s="35">
        <f t="shared" si="120"/>
        <v>6011.2</v>
      </c>
      <c r="O216" s="36"/>
      <c r="P216" s="36"/>
      <c r="Q216" s="39">
        <v>6011.2</v>
      </c>
      <c r="R216" s="37"/>
      <c r="S216" s="29">
        <f t="shared" ref="S216:S279" si="121">IF(I216=0," ",N216/I216)</f>
        <v>1</v>
      </c>
      <c r="T216" s="30" t="str">
        <f t="shared" ref="T216:T279" si="122">IF(J216=0," ",O216/J216)</f>
        <v xml:space="preserve"> </v>
      </c>
      <c r="U216" s="30" t="str">
        <f t="shared" ref="U216:U279" si="123">IF(K216=0," ",P216/K216)</f>
        <v xml:space="preserve"> </v>
      </c>
      <c r="V216" s="30">
        <f t="shared" ref="V216:W279" si="124">IF(L216=0," ",Q216/L216)</f>
        <v>1</v>
      </c>
      <c r="W216" s="30" t="str">
        <f t="shared" si="124"/>
        <v xml:space="preserve"> </v>
      </c>
    </row>
    <row r="217" spans="1:23" ht="59.25" customHeight="1" x14ac:dyDescent="0.2">
      <c r="A217" s="74"/>
      <c r="B217" s="75"/>
      <c r="C217" s="4" t="s">
        <v>385</v>
      </c>
      <c r="D217" s="35"/>
      <c r="E217" s="36"/>
      <c r="F217" s="36"/>
      <c r="G217" s="36"/>
      <c r="H217" s="37"/>
      <c r="I217" s="35">
        <f t="shared" si="119"/>
        <v>32780.799999999996</v>
      </c>
      <c r="J217" s="36"/>
      <c r="K217" s="39">
        <v>32780.799999999996</v>
      </c>
      <c r="L217" s="39"/>
      <c r="M217" s="37"/>
      <c r="N217" s="35">
        <f t="shared" si="120"/>
        <v>32780.779000000002</v>
      </c>
      <c r="O217" s="36"/>
      <c r="P217" s="36">
        <v>32780.779000000002</v>
      </c>
      <c r="Q217" s="39"/>
      <c r="R217" s="37"/>
      <c r="S217" s="29">
        <f t="shared" si="121"/>
        <v>0.99999935938110129</v>
      </c>
      <c r="T217" s="30" t="str">
        <f t="shared" si="122"/>
        <v xml:space="preserve"> </v>
      </c>
      <c r="U217" s="30">
        <f t="shared" si="123"/>
        <v>0.99999935938110129</v>
      </c>
      <c r="V217" s="30" t="str">
        <f t="shared" si="124"/>
        <v xml:space="preserve"> </v>
      </c>
      <c r="W217" s="30" t="str">
        <f t="shared" si="124"/>
        <v xml:space="preserve"> </v>
      </c>
    </row>
    <row r="218" spans="1:23" ht="85.5" customHeight="1" x14ac:dyDescent="0.2">
      <c r="A218" s="74"/>
      <c r="B218" s="75"/>
      <c r="C218" s="41" t="s">
        <v>386</v>
      </c>
      <c r="D218" s="35"/>
      <c r="E218" s="36"/>
      <c r="F218" s="36"/>
      <c r="G218" s="36"/>
      <c r="H218" s="37"/>
      <c r="I218" s="35">
        <f t="shared" si="119"/>
        <v>5410</v>
      </c>
      <c r="J218" s="36"/>
      <c r="K218" s="39"/>
      <c r="L218" s="39">
        <v>5410</v>
      </c>
      <c r="M218" s="37"/>
      <c r="N218" s="35">
        <f t="shared" ref="N218:N270" si="125">SUM(O218:R218)</f>
        <v>5410</v>
      </c>
      <c r="O218" s="36"/>
      <c r="P218" s="36"/>
      <c r="Q218" s="39">
        <v>5410</v>
      </c>
      <c r="R218" s="37"/>
      <c r="S218" s="29">
        <f t="shared" si="121"/>
        <v>1</v>
      </c>
      <c r="T218" s="30" t="str">
        <f t="shared" si="122"/>
        <v xml:space="preserve"> </v>
      </c>
      <c r="U218" s="30" t="str">
        <f t="shared" si="123"/>
        <v xml:space="preserve"> </v>
      </c>
      <c r="V218" s="30">
        <f t="shared" si="124"/>
        <v>1</v>
      </c>
      <c r="W218" s="30" t="str">
        <f t="shared" si="124"/>
        <v xml:space="preserve"> </v>
      </c>
    </row>
    <row r="219" spans="1:23" ht="82.5" x14ac:dyDescent="0.2">
      <c r="A219" s="74"/>
      <c r="B219" s="75"/>
      <c r="C219" s="51" t="s">
        <v>387</v>
      </c>
      <c r="D219" s="35"/>
      <c r="E219" s="36"/>
      <c r="F219" s="36"/>
      <c r="G219" s="36"/>
      <c r="H219" s="37"/>
      <c r="I219" s="35">
        <f t="shared" si="119"/>
        <v>6311.8</v>
      </c>
      <c r="J219" s="36"/>
      <c r="K219" s="39"/>
      <c r="L219" s="39">
        <v>6311.8</v>
      </c>
      <c r="M219" s="37"/>
      <c r="N219" s="35">
        <f t="shared" si="125"/>
        <v>6311.8</v>
      </c>
      <c r="O219" s="36"/>
      <c r="P219" s="36"/>
      <c r="Q219" s="39">
        <v>6311.8</v>
      </c>
      <c r="R219" s="37"/>
      <c r="S219" s="29">
        <f t="shared" si="121"/>
        <v>1</v>
      </c>
      <c r="T219" s="30" t="str">
        <f t="shared" si="122"/>
        <v xml:space="preserve"> </v>
      </c>
      <c r="U219" s="30" t="str">
        <f t="shared" si="123"/>
        <v xml:space="preserve"> </v>
      </c>
      <c r="V219" s="30">
        <f t="shared" si="124"/>
        <v>1</v>
      </c>
      <c r="W219" s="30" t="str">
        <f t="shared" si="124"/>
        <v xml:space="preserve"> </v>
      </c>
    </row>
    <row r="220" spans="1:23" ht="68.25" customHeight="1" x14ac:dyDescent="0.2">
      <c r="A220" s="74"/>
      <c r="B220" s="75"/>
      <c r="C220" s="4" t="s">
        <v>388</v>
      </c>
      <c r="D220" s="35"/>
      <c r="E220" s="36"/>
      <c r="F220" s="36"/>
      <c r="G220" s="36"/>
      <c r="H220" s="37"/>
      <c r="I220" s="35">
        <f t="shared" si="119"/>
        <v>269272.3</v>
      </c>
      <c r="J220" s="36"/>
      <c r="K220" s="39">
        <v>269272.3</v>
      </c>
      <c r="L220" s="39"/>
      <c r="M220" s="37"/>
      <c r="N220" s="35">
        <f t="shared" si="125"/>
        <v>255178.79399999999</v>
      </c>
      <c r="O220" s="36"/>
      <c r="P220" s="36">
        <v>255178.79399999999</v>
      </c>
      <c r="Q220" s="36"/>
      <c r="R220" s="37"/>
      <c r="S220" s="29">
        <f t="shared" si="121"/>
        <v>0.94766076570074231</v>
      </c>
      <c r="T220" s="30" t="str">
        <f t="shared" si="122"/>
        <v xml:space="preserve"> </v>
      </c>
      <c r="U220" s="30">
        <f t="shared" si="123"/>
        <v>0.94766076570074231</v>
      </c>
      <c r="V220" s="30" t="str">
        <f t="shared" si="124"/>
        <v xml:space="preserve"> </v>
      </c>
      <c r="W220" s="30" t="str">
        <f t="shared" si="124"/>
        <v xml:space="preserve"> </v>
      </c>
    </row>
    <row r="221" spans="1:23" ht="86.25" customHeight="1" x14ac:dyDescent="0.2">
      <c r="A221" s="74"/>
      <c r="B221" s="75"/>
      <c r="C221" s="41" t="s">
        <v>389</v>
      </c>
      <c r="D221" s="35"/>
      <c r="E221" s="36"/>
      <c r="F221" s="36"/>
      <c r="G221" s="36"/>
      <c r="H221" s="37"/>
      <c r="I221" s="35">
        <f t="shared" si="119"/>
        <v>12460.2</v>
      </c>
      <c r="J221" s="36"/>
      <c r="K221" s="39"/>
      <c r="L221" s="39">
        <v>12460.2</v>
      </c>
      <c r="M221" s="37"/>
      <c r="N221" s="35">
        <f t="shared" si="125"/>
        <v>12460.2</v>
      </c>
      <c r="O221" s="36"/>
      <c r="P221" s="36"/>
      <c r="Q221" s="39">
        <v>12460.2</v>
      </c>
      <c r="R221" s="37"/>
      <c r="S221" s="29">
        <f t="shared" si="121"/>
        <v>1</v>
      </c>
      <c r="T221" s="30" t="str">
        <f t="shared" si="122"/>
        <v xml:space="preserve"> </v>
      </c>
      <c r="U221" s="30" t="str">
        <f t="shared" si="123"/>
        <v xml:space="preserve"> </v>
      </c>
      <c r="V221" s="30">
        <f t="shared" si="124"/>
        <v>1</v>
      </c>
      <c r="W221" s="30" t="str">
        <f t="shared" si="124"/>
        <v xml:space="preserve"> </v>
      </c>
    </row>
    <row r="222" spans="1:23" ht="67.5" customHeight="1" x14ac:dyDescent="0.2">
      <c r="A222" s="74"/>
      <c r="B222" s="75"/>
      <c r="C222" s="41" t="s">
        <v>390</v>
      </c>
      <c r="D222" s="35"/>
      <c r="E222" s="36"/>
      <c r="F222" s="36"/>
      <c r="G222" s="36"/>
      <c r="H222" s="37"/>
      <c r="I222" s="35">
        <f t="shared" si="119"/>
        <v>3000</v>
      </c>
      <c r="J222" s="36"/>
      <c r="K222" s="39"/>
      <c r="L222" s="39">
        <v>3000</v>
      </c>
      <c r="M222" s="37"/>
      <c r="N222" s="35">
        <f t="shared" si="125"/>
        <v>1680</v>
      </c>
      <c r="O222" s="36"/>
      <c r="P222" s="36"/>
      <c r="Q222" s="36">
        <v>1680</v>
      </c>
      <c r="R222" s="37"/>
      <c r="S222" s="29">
        <f t="shared" si="121"/>
        <v>0.56000000000000005</v>
      </c>
      <c r="T222" s="30" t="str">
        <f t="shared" si="122"/>
        <v xml:space="preserve"> </v>
      </c>
      <c r="U222" s="30" t="str">
        <f t="shared" si="123"/>
        <v xml:space="preserve"> </v>
      </c>
      <c r="V222" s="30">
        <f t="shared" si="124"/>
        <v>0.56000000000000005</v>
      </c>
      <c r="W222" s="30" t="str">
        <f t="shared" si="124"/>
        <v xml:space="preserve"> </v>
      </c>
    </row>
    <row r="223" spans="1:23" s="8" customFormat="1" ht="83.25" customHeight="1" x14ac:dyDescent="0.2">
      <c r="A223" s="74"/>
      <c r="B223" s="75"/>
      <c r="C223" s="45" t="s">
        <v>391</v>
      </c>
      <c r="D223" s="35"/>
      <c r="E223" s="36"/>
      <c r="F223" s="36"/>
      <c r="G223" s="36"/>
      <c r="H223" s="37"/>
      <c r="I223" s="35">
        <f t="shared" si="119"/>
        <v>110003.5</v>
      </c>
      <c r="J223" s="36"/>
      <c r="K223" s="39">
        <v>110003.5</v>
      </c>
      <c r="L223" s="39"/>
      <c r="M223" s="37"/>
      <c r="N223" s="35">
        <f t="shared" si="125"/>
        <v>109317.682</v>
      </c>
      <c r="O223" s="36"/>
      <c r="P223" s="36">
        <v>109317.682</v>
      </c>
      <c r="Q223" s="36"/>
      <c r="R223" s="37"/>
      <c r="S223" s="29">
        <f t="shared" si="121"/>
        <v>0.9937654892798865</v>
      </c>
      <c r="T223" s="30" t="str">
        <f t="shared" si="122"/>
        <v xml:space="preserve"> </v>
      </c>
      <c r="U223" s="30">
        <f t="shared" si="123"/>
        <v>0.9937654892798865</v>
      </c>
      <c r="V223" s="30" t="str">
        <f t="shared" si="124"/>
        <v xml:space="preserve"> </v>
      </c>
      <c r="W223" s="30" t="str">
        <f t="shared" si="124"/>
        <v xml:space="preserve"> </v>
      </c>
    </row>
    <row r="224" spans="1:23" s="8" customFormat="1" ht="69" customHeight="1" x14ac:dyDescent="0.2">
      <c r="A224" s="74"/>
      <c r="B224" s="75"/>
      <c r="C224" s="41" t="s">
        <v>392</v>
      </c>
      <c r="D224" s="35"/>
      <c r="E224" s="36"/>
      <c r="F224" s="36"/>
      <c r="G224" s="36"/>
      <c r="H224" s="37"/>
      <c r="I224" s="35">
        <f t="shared" si="119"/>
        <v>114367.19999999998</v>
      </c>
      <c r="J224" s="36"/>
      <c r="K224" s="39">
        <v>109793.19999999998</v>
      </c>
      <c r="L224" s="39">
        <v>4574</v>
      </c>
      <c r="M224" s="37"/>
      <c r="N224" s="35">
        <f t="shared" si="125"/>
        <v>114317.231</v>
      </c>
      <c r="O224" s="36"/>
      <c r="P224" s="36">
        <v>109743.355</v>
      </c>
      <c r="Q224" s="39">
        <v>4573.8760000000002</v>
      </c>
      <c r="R224" s="37"/>
      <c r="S224" s="29">
        <f t="shared" si="121"/>
        <v>0.99956308277198369</v>
      </c>
      <c r="T224" s="30" t="str">
        <f t="shared" si="122"/>
        <v xml:space="preserve"> </v>
      </c>
      <c r="U224" s="30">
        <f t="shared" si="123"/>
        <v>0.99954601013541833</v>
      </c>
      <c r="V224" s="30">
        <f t="shared" si="124"/>
        <v>0.99997289024923486</v>
      </c>
      <c r="W224" s="30" t="str">
        <f t="shared" si="124"/>
        <v xml:space="preserve"> </v>
      </c>
    </row>
    <row r="225" spans="1:23" ht="108" customHeight="1" x14ac:dyDescent="0.2">
      <c r="A225" s="74"/>
      <c r="B225" s="75"/>
      <c r="C225" s="41" t="s">
        <v>393</v>
      </c>
      <c r="D225" s="35"/>
      <c r="E225" s="36"/>
      <c r="F225" s="36"/>
      <c r="G225" s="36"/>
      <c r="H225" s="37"/>
      <c r="I225" s="35">
        <f t="shared" si="119"/>
        <v>149185.29999999993</v>
      </c>
      <c r="J225" s="36"/>
      <c r="K225" s="39">
        <v>149185.29999999993</v>
      </c>
      <c r="L225" s="39"/>
      <c r="M225" s="37"/>
      <c r="N225" s="35">
        <f t="shared" si="125"/>
        <v>149185.266</v>
      </c>
      <c r="O225" s="36"/>
      <c r="P225" s="36">
        <v>149185.266</v>
      </c>
      <c r="Q225" s="39"/>
      <c r="R225" s="37"/>
      <c r="S225" s="29">
        <f t="shared" si="121"/>
        <v>0.99999977209550861</v>
      </c>
      <c r="T225" s="30" t="str">
        <f t="shared" si="122"/>
        <v xml:space="preserve"> </v>
      </c>
      <c r="U225" s="30">
        <f t="shared" si="123"/>
        <v>0.99999977209550861</v>
      </c>
      <c r="V225" s="30" t="str">
        <f t="shared" si="124"/>
        <v xml:space="preserve"> </v>
      </c>
      <c r="W225" s="30" t="str">
        <f t="shared" si="124"/>
        <v xml:space="preserve"> </v>
      </c>
    </row>
    <row r="226" spans="1:23" ht="96" customHeight="1" x14ac:dyDescent="0.2">
      <c r="A226" s="74"/>
      <c r="B226" s="75"/>
      <c r="C226" s="42" t="s">
        <v>394</v>
      </c>
      <c r="D226" s="35"/>
      <c r="E226" s="36"/>
      <c r="F226" s="36"/>
      <c r="G226" s="36"/>
      <c r="H226" s="37"/>
      <c r="I226" s="35">
        <f t="shared" si="119"/>
        <v>6600</v>
      </c>
      <c r="J226" s="36"/>
      <c r="K226" s="39"/>
      <c r="L226" s="39">
        <v>6600</v>
      </c>
      <c r="M226" s="37"/>
      <c r="N226" s="35">
        <f t="shared" si="125"/>
        <v>6600</v>
      </c>
      <c r="O226" s="36"/>
      <c r="P226" s="36"/>
      <c r="Q226" s="39">
        <v>6600</v>
      </c>
      <c r="R226" s="37"/>
      <c r="S226" s="29">
        <f t="shared" si="121"/>
        <v>1</v>
      </c>
      <c r="T226" s="30" t="str">
        <f t="shared" si="122"/>
        <v xml:space="preserve"> </v>
      </c>
      <c r="U226" s="30" t="str">
        <f t="shared" si="123"/>
        <v xml:space="preserve"> </v>
      </c>
      <c r="V226" s="30">
        <f t="shared" si="124"/>
        <v>1</v>
      </c>
      <c r="W226" s="30" t="str">
        <f t="shared" si="124"/>
        <v xml:space="preserve"> </v>
      </c>
    </row>
    <row r="227" spans="1:23" ht="74.25" customHeight="1" x14ac:dyDescent="0.2">
      <c r="A227" s="74"/>
      <c r="B227" s="75"/>
      <c r="C227" s="42" t="s">
        <v>395</v>
      </c>
      <c r="D227" s="35"/>
      <c r="E227" s="36"/>
      <c r="F227" s="36"/>
      <c r="G227" s="36"/>
      <c r="H227" s="37"/>
      <c r="I227" s="35">
        <f t="shared" si="119"/>
        <v>698.5</v>
      </c>
      <c r="J227" s="36"/>
      <c r="K227" s="39"/>
      <c r="L227" s="39">
        <v>698.5</v>
      </c>
      <c r="M227" s="37"/>
      <c r="N227" s="35">
        <f t="shared" si="125"/>
        <v>698.45799999999997</v>
      </c>
      <c r="O227" s="36"/>
      <c r="P227" s="36"/>
      <c r="Q227" s="39">
        <v>698.45799999999997</v>
      </c>
      <c r="R227" s="37"/>
      <c r="S227" s="29">
        <f t="shared" si="121"/>
        <v>0.99993987115246952</v>
      </c>
      <c r="T227" s="30" t="str">
        <f t="shared" si="122"/>
        <v xml:space="preserve"> </v>
      </c>
      <c r="U227" s="30" t="str">
        <f t="shared" si="123"/>
        <v xml:space="preserve"> </v>
      </c>
      <c r="V227" s="30">
        <f t="shared" si="124"/>
        <v>0.99993987115246952</v>
      </c>
      <c r="W227" s="30" t="str">
        <f t="shared" si="124"/>
        <v xml:space="preserve"> </v>
      </c>
    </row>
    <row r="228" spans="1:23" ht="80.25" customHeight="1" x14ac:dyDescent="0.2">
      <c r="A228" s="74"/>
      <c r="B228" s="75"/>
      <c r="C228" s="42" t="s">
        <v>396</v>
      </c>
      <c r="D228" s="35"/>
      <c r="E228" s="36"/>
      <c r="F228" s="36"/>
      <c r="G228" s="36"/>
      <c r="H228" s="37"/>
      <c r="I228" s="35">
        <f t="shared" si="119"/>
        <v>9.9999999998544808E-2</v>
      </c>
      <c r="J228" s="36"/>
      <c r="K228" s="39">
        <v>9.9999999998544808E-2</v>
      </c>
      <c r="L228" s="39"/>
      <c r="M228" s="37"/>
      <c r="N228" s="35">
        <f t="shared" si="125"/>
        <v>0</v>
      </c>
      <c r="O228" s="36"/>
      <c r="P228" s="36">
        <v>0</v>
      </c>
      <c r="Q228" s="39"/>
      <c r="R228" s="37"/>
      <c r="S228" s="29">
        <f t="shared" si="121"/>
        <v>0</v>
      </c>
      <c r="T228" s="30" t="str">
        <f t="shared" si="122"/>
        <v xml:space="preserve"> </v>
      </c>
      <c r="U228" s="30">
        <f t="shared" si="123"/>
        <v>0</v>
      </c>
      <c r="V228" s="30" t="str">
        <f t="shared" si="124"/>
        <v xml:space="preserve"> </v>
      </c>
      <c r="W228" s="30" t="str">
        <f t="shared" si="124"/>
        <v xml:space="preserve"> </v>
      </c>
    </row>
    <row r="229" spans="1:23" ht="67.5" customHeight="1" x14ac:dyDescent="0.2">
      <c r="A229" s="74"/>
      <c r="B229" s="75"/>
      <c r="C229" s="42" t="s">
        <v>397</v>
      </c>
      <c r="D229" s="35"/>
      <c r="E229" s="36"/>
      <c r="F229" s="36"/>
      <c r="G229" s="36"/>
      <c r="H229" s="37"/>
      <c r="I229" s="35">
        <f t="shared" si="119"/>
        <v>2249.4</v>
      </c>
      <c r="J229" s="36"/>
      <c r="K229" s="39"/>
      <c r="L229" s="39">
        <f>2106.6+142.8</f>
        <v>2249.4</v>
      </c>
      <c r="M229" s="37"/>
      <c r="N229" s="35">
        <f t="shared" si="125"/>
        <v>2106.6</v>
      </c>
      <c r="O229" s="36"/>
      <c r="P229" s="36"/>
      <c r="Q229" s="39">
        <v>2106.6</v>
      </c>
      <c r="R229" s="37"/>
      <c r="S229" s="29">
        <f t="shared" si="121"/>
        <v>0.93651640437449979</v>
      </c>
      <c r="T229" s="30" t="str">
        <f t="shared" si="122"/>
        <v xml:space="preserve"> </v>
      </c>
      <c r="U229" s="30" t="str">
        <f t="shared" si="123"/>
        <v xml:space="preserve"> </v>
      </c>
      <c r="V229" s="30">
        <f t="shared" si="124"/>
        <v>0.93651640437449979</v>
      </c>
      <c r="W229" s="30" t="str">
        <f t="shared" si="124"/>
        <v xml:space="preserve"> </v>
      </c>
    </row>
    <row r="230" spans="1:23" ht="114" customHeight="1" x14ac:dyDescent="0.2">
      <c r="A230" s="74"/>
      <c r="B230" s="75"/>
      <c r="C230" s="42" t="s">
        <v>398</v>
      </c>
      <c r="D230" s="35"/>
      <c r="E230" s="36"/>
      <c r="F230" s="36"/>
      <c r="G230" s="36"/>
      <c r="H230" s="37"/>
      <c r="I230" s="35">
        <f t="shared" si="119"/>
        <v>1276.3</v>
      </c>
      <c r="J230" s="36"/>
      <c r="K230" s="39"/>
      <c r="L230" s="39">
        <v>1276.3</v>
      </c>
      <c r="M230" s="37"/>
      <c r="N230" s="35">
        <f t="shared" si="125"/>
        <v>1276.3</v>
      </c>
      <c r="O230" s="36"/>
      <c r="P230" s="36"/>
      <c r="Q230" s="39">
        <v>1276.3</v>
      </c>
      <c r="R230" s="37"/>
      <c r="S230" s="29">
        <f t="shared" si="121"/>
        <v>1</v>
      </c>
      <c r="T230" s="30" t="str">
        <f t="shared" si="122"/>
        <v xml:space="preserve"> </v>
      </c>
      <c r="U230" s="30" t="str">
        <f t="shared" si="123"/>
        <v xml:space="preserve"> </v>
      </c>
      <c r="V230" s="30">
        <f t="shared" si="124"/>
        <v>1</v>
      </c>
      <c r="W230" s="30" t="str">
        <f t="shared" si="124"/>
        <v xml:space="preserve"> </v>
      </c>
    </row>
    <row r="231" spans="1:23" ht="75.75" customHeight="1" x14ac:dyDescent="0.2">
      <c r="A231" s="74"/>
      <c r="B231" s="75"/>
      <c r="C231" s="4" t="s">
        <v>399</v>
      </c>
      <c r="D231" s="35"/>
      <c r="E231" s="36"/>
      <c r="F231" s="36"/>
      <c r="G231" s="36"/>
      <c r="H231" s="37"/>
      <c r="I231" s="35">
        <f t="shared" si="119"/>
        <v>346814.5</v>
      </c>
      <c r="J231" s="36"/>
      <c r="K231" s="39">
        <v>346814.5</v>
      </c>
      <c r="L231" s="39"/>
      <c r="M231" s="37"/>
      <c r="N231" s="35">
        <f t="shared" si="125"/>
        <v>332332.64800000004</v>
      </c>
      <c r="O231" s="36"/>
      <c r="P231" s="36">
        <v>332332.64800000004</v>
      </c>
      <c r="Q231" s="39"/>
      <c r="R231" s="37"/>
      <c r="S231" s="29">
        <f t="shared" si="121"/>
        <v>0.9582432337748279</v>
      </c>
      <c r="T231" s="30" t="str">
        <f t="shared" si="122"/>
        <v xml:space="preserve"> </v>
      </c>
      <c r="U231" s="30">
        <f t="shared" si="123"/>
        <v>0.9582432337748279</v>
      </c>
      <c r="V231" s="30" t="str">
        <f t="shared" si="124"/>
        <v xml:space="preserve"> </v>
      </c>
      <c r="W231" s="30" t="str">
        <f t="shared" si="124"/>
        <v xml:space="preserve"> </v>
      </c>
    </row>
    <row r="232" spans="1:23" ht="81" customHeight="1" x14ac:dyDescent="0.2">
      <c r="A232" s="74"/>
      <c r="B232" s="75"/>
      <c r="C232" s="42" t="s">
        <v>400</v>
      </c>
      <c r="D232" s="35"/>
      <c r="E232" s="36"/>
      <c r="F232" s="36"/>
      <c r="G232" s="36"/>
      <c r="H232" s="37"/>
      <c r="I232" s="35">
        <f t="shared" si="119"/>
        <v>594499.4</v>
      </c>
      <c r="J232" s="36"/>
      <c r="K232" s="39">
        <v>594499.4</v>
      </c>
      <c r="L232" s="39"/>
      <c r="M232" s="37"/>
      <c r="N232" s="35">
        <f t="shared" si="125"/>
        <v>566200.68299999984</v>
      </c>
      <c r="O232" s="36"/>
      <c r="P232" s="36">
        <v>566200.68299999984</v>
      </c>
      <c r="Q232" s="39"/>
      <c r="R232" s="37"/>
      <c r="S232" s="29">
        <f t="shared" si="121"/>
        <v>0.95239908232035186</v>
      </c>
      <c r="T232" s="30" t="str">
        <f t="shared" si="122"/>
        <v xml:space="preserve"> </v>
      </c>
      <c r="U232" s="30">
        <f t="shared" si="123"/>
        <v>0.95239908232035186</v>
      </c>
      <c r="V232" s="30" t="str">
        <f t="shared" si="124"/>
        <v xml:space="preserve"> </v>
      </c>
      <c r="W232" s="30" t="str">
        <f t="shared" si="124"/>
        <v xml:space="preserve"> </v>
      </c>
    </row>
    <row r="233" spans="1:23" ht="84" customHeight="1" x14ac:dyDescent="0.2">
      <c r="A233" s="74"/>
      <c r="B233" s="75"/>
      <c r="C233" s="50" t="s">
        <v>401</v>
      </c>
      <c r="D233" s="35"/>
      <c r="E233" s="36"/>
      <c r="F233" s="36"/>
      <c r="G233" s="36"/>
      <c r="H233" s="37"/>
      <c r="I233" s="35">
        <f t="shared" si="119"/>
        <v>13108.3</v>
      </c>
      <c r="J233" s="36"/>
      <c r="K233" s="39">
        <v>13108.3</v>
      </c>
      <c r="L233" s="39"/>
      <c r="M233" s="37"/>
      <c r="N233" s="35">
        <f t="shared" si="125"/>
        <v>13108.263000000001</v>
      </c>
      <c r="O233" s="36"/>
      <c r="P233" s="36">
        <v>13108.263000000001</v>
      </c>
      <c r="Q233" s="39"/>
      <c r="R233" s="37"/>
      <c r="S233" s="29">
        <f t="shared" si="121"/>
        <v>0.99999717736090887</v>
      </c>
      <c r="T233" s="30" t="str">
        <f t="shared" si="122"/>
        <v xml:space="preserve"> </v>
      </c>
      <c r="U233" s="30">
        <f t="shared" si="123"/>
        <v>0.99999717736090887</v>
      </c>
      <c r="V233" s="30" t="str">
        <f t="shared" si="124"/>
        <v xml:space="preserve"> </v>
      </c>
      <c r="W233" s="30" t="str">
        <f t="shared" si="124"/>
        <v xml:space="preserve"> </v>
      </c>
    </row>
    <row r="234" spans="1:23" ht="78.75" customHeight="1" x14ac:dyDescent="0.2">
      <c r="A234" s="74"/>
      <c r="B234" s="75"/>
      <c r="C234" s="42" t="s">
        <v>402</v>
      </c>
      <c r="D234" s="35"/>
      <c r="E234" s="36"/>
      <c r="F234" s="36"/>
      <c r="G234" s="36"/>
      <c r="H234" s="37"/>
      <c r="I234" s="35">
        <f t="shared" si="119"/>
        <v>18798.900000000001</v>
      </c>
      <c r="J234" s="36"/>
      <c r="K234" s="39"/>
      <c r="L234" s="39">
        <v>18798.900000000001</v>
      </c>
      <c r="M234" s="37"/>
      <c r="N234" s="35">
        <f t="shared" si="125"/>
        <v>18798.900000000001</v>
      </c>
      <c r="O234" s="36"/>
      <c r="P234" s="36"/>
      <c r="Q234" s="39">
        <v>18798.900000000001</v>
      </c>
      <c r="R234" s="37"/>
      <c r="S234" s="29">
        <f t="shared" si="121"/>
        <v>1</v>
      </c>
      <c r="T234" s="30" t="str">
        <f t="shared" si="122"/>
        <v xml:space="preserve"> </v>
      </c>
      <c r="U234" s="30" t="str">
        <f t="shared" si="123"/>
        <v xml:space="preserve"> </v>
      </c>
      <c r="V234" s="30">
        <f t="shared" si="124"/>
        <v>1</v>
      </c>
      <c r="W234" s="30" t="str">
        <f t="shared" si="124"/>
        <v xml:space="preserve"> </v>
      </c>
    </row>
    <row r="235" spans="1:23" ht="62.25" customHeight="1" x14ac:dyDescent="0.2">
      <c r="A235" s="74"/>
      <c r="B235" s="75"/>
      <c r="C235" s="41" t="s">
        <v>403</v>
      </c>
      <c r="D235" s="35"/>
      <c r="E235" s="36"/>
      <c r="F235" s="36"/>
      <c r="G235" s="36"/>
      <c r="H235" s="37"/>
      <c r="I235" s="35">
        <f t="shared" si="119"/>
        <v>26448.9</v>
      </c>
      <c r="J235" s="36"/>
      <c r="K235" s="39"/>
      <c r="L235" s="39">
        <v>26448.9</v>
      </c>
      <c r="M235" s="37"/>
      <c r="N235" s="35">
        <f t="shared" si="125"/>
        <v>18514.222000000002</v>
      </c>
      <c r="O235" s="36"/>
      <c r="P235" s="36"/>
      <c r="Q235" s="39">
        <v>18514.222000000002</v>
      </c>
      <c r="R235" s="37"/>
      <c r="S235" s="29">
        <f t="shared" si="121"/>
        <v>0.69999969752995406</v>
      </c>
      <c r="T235" s="30" t="str">
        <f t="shared" si="122"/>
        <v xml:space="preserve"> </v>
      </c>
      <c r="U235" s="30" t="str">
        <f t="shared" si="123"/>
        <v xml:space="preserve"> </v>
      </c>
      <c r="V235" s="30">
        <f t="shared" si="124"/>
        <v>0.69999969752995406</v>
      </c>
      <c r="W235" s="30" t="str">
        <f t="shared" si="124"/>
        <v xml:space="preserve"> </v>
      </c>
    </row>
    <row r="236" spans="1:23" ht="66.75" customHeight="1" x14ac:dyDescent="0.2">
      <c r="A236" s="74"/>
      <c r="B236" s="75"/>
      <c r="C236" s="50" t="s">
        <v>404</v>
      </c>
      <c r="D236" s="35"/>
      <c r="E236" s="36"/>
      <c r="F236" s="36"/>
      <c r="G236" s="36"/>
      <c r="H236" s="37"/>
      <c r="I236" s="35">
        <f t="shared" si="119"/>
        <v>920550.2</v>
      </c>
      <c r="J236" s="36"/>
      <c r="K236" s="39">
        <v>918484.7</v>
      </c>
      <c r="L236" s="39">
        <v>2065.5</v>
      </c>
      <c r="M236" s="37"/>
      <c r="N236" s="35">
        <f t="shared" si="125"/>
        <v>920530.1810000001</v>
      </c>
      <c r="O236" s="36"/>
      <c r="P236" s="36">
        <v>918464.78100000008</v>
      </c>
      <c r="Q236" s="39">
        <v>2065.4</v>
      </c>
      <c r="R236" s="37"/>
      <c r="S236" s="29">
        <f t="shared" si="121"/>
        <v>0.99997825322290967</v>
      </c>
      <c r="T236" s="30" t="str">
        <f t="shared" si="122"/>
        <v xml:space="preserve"> </v>
      </c>
      <c r="U236" s="30">
        <f t="shared" si="123"/>
        <v>0.99997831319345887</v>
      </c>
      <c r="V236" s="30">
        <f t="shared" si="124"/>
        <v>0.99995158557250063</v>
      </c>
      <c r="W236" s="30" t="str">
        <f t="shared" si="124"/>
        <v xml:space="preserve"> </v>
      </c>
    </row>
    <row r="237" spans="1:23" ht="48.75" customHeight="1" x14ac:dyDescent="0.2">
      <c r="A237" s="74"/>
      <c r="B237" s="75"/>
      <c r="C237" s="45" t="s">
        <v>405</v>
      </c>
      <c r="D237" s="35"/>
      <c r="E237" s="36"/>
      <c r="F237" s="36"/>
      <c r="G237" s="36"/>
      <c r="H237" s="37"/>
      <c r="I237" s="35">
        <f t="shared" si="119"/>
        <v>696293.20000000007</v>
      </c>
      <c r="J237" s="36"/>
      <c r="K237" s="39">
        <v>690693.20000000007</v>
      </c>
      <c r="L237" s="39">
        <v>5600</v>
      </c>
      <c r="M237" s="37"/>
      <c r="N237" s="35">
        <f t="shared" si="125"/>
        <v>693623.67800000007</v>
      </c>
      <c r="O237" s="36"/>
      <c r="P237" s="36">
        <v>689123.67800000007</v>
      </c>
      <c r="Q237" s="36">
        <v>4500</v>
      </c>
      <c r="R237" s="37"/>
      <c r="S237" s="29">
        <f t="shared" si="121"/>
        <v>0.99616609497263509</v>
      </c>
      <c r="T237" s="30" t="str">
        <f t="shared" si="122"/>
        <v xml:space="preserve"> </v>
      </c>
      <c r="U237" s="30">
        <f t="shared" si="123"/>
        <v>0.99772761336002724</v>
      </c>
      <c r="V237" s="30">
        <f t="shared" si="124"/>
        <v>0.8035714285714286</v>
      </c>
      <c r="W237" s="30" t="str">
        <f t="shared" si="124"/>
        <v xml:space="preserve"> </v>
      </c>
    </row>
    <row r="238" spans="1:23" ht="171.75" customHeight="1" x14ac:dyDescent="0.2">
      <c r="A238" s="74"/>
      <c r="B238" s="75"/>
      <c r="C238" s="41" t="s">
        <v>839</v>
      </c>
      <c r="D238" s="35"/>
      <c r="E238" s="36"/>
      <c r="F238" s="36"/>
      <c r="G238" s="36"/>
      <c r="H238" s="37"/>
      <c r="I238" s="35">
        <f t="shared" si="119"/>
        <v>6413.3</v>
      </c>
      <c r="J238" s="36"/>
      <c r="K238" s="39"/>
      <c r="L238" s="39">
        <v>6413.3</v>
      </c>
      <c r="M238" s="37"/>
      <c r="N238" s="35">
        <f t="shared" si="125"/>
        <v>6413.3</v>
      </c>
      <c r="O238" s="36"/>
      <c r="P238" s="36"/>
      <c r="Q238" s="39">
        <v>6413.3</v>
      </c>
      <c r="R238" s="37"/>
      <c r="S238" s="29">
        <f t="shared" si="121"/>
        <v>1</v>
      </c>
      <c r="T238" s="30" t="str">
        <f t="shared" si="122"/>
        <v xml:space="preserve"> </v>
      </c>
      <c r="U238" s="30" t="str">
        <f t="shared" si="123"/>
        <v xml:space="preserve"> </v>
      </c>
      <c r="V238" s="30">
        <f t="shared" si="124"/>
        <v>1</v>
      </c>
      <c r="W238" s="30" t="str">
        <f t="shared" si="124"/>
        <v xml:space="preserve"> </v>
      </c>
    </row>
    <row r="239" spans="1:23" ht="55.5" customHeight="1" x14ac:dyDescent="0.2">
      <c r="A239" s="74"/>
      <c r="B239" s="75"/>
      <c r="C239" s="41" t="s">
        <v>406</v>
      </c>
      <c r="D239" s="35"/>
      <c r="E239" s="36"/>
      <c r="F239" s="36"/>
      <c r="G239" s="36"/>
      <c r="H239" s="37"/>
      <c r="I239" s="35">
        <f t="shared" si="119"/>
        <v>11558</v>
      </c>
      <c r="J239" s="36"/>
      <c r="K239" s="39"/>
      <c r="L239" s="39">
        <v>11558</v>
      </c>
      <c r="M239" s="37"/>
      <c r="N239" s="35">
        <f t="shared" si="125"/>
        <v>8090.5780000000004</v>
      </c>
      <c r="O239" s="36"/>
      <c r="P239" s="36"/>
      <c r="Q239" s="39">
        <v>8090.5780000000004</v>
      </c>
      <c r="R239" s="37"/>
      <c r="S239" s="29">
        <f t="shared" si="121"/>
        <v>0.6999980965564977</v>
      </c>
      <c r="T239" s="30" t="str">
        <f t="shared" si="122"/>
        <v xml:space="preserve"> </v>
      </c>
      <c r="U239" s="30" t="str">
        <f t="shared" si="123"/>
        <v xml:space="preserve"> </v>
      </c>
      <c r="V239" s="30">
        <f t="shared" si="124"/>
        <v>0.6999980965564977</v>
      </c>
      <c r="W239" s="30" t="str">
        <f t="shared" si="124"/>
        <v xml:space="preserve"> </v>
      </c>
    </row>
    <row r="240" spans="1:23" ht="47.25" customHeight="1" x14ac:dyDescent="0.2">
      <c r="A240" s="74"/>
      <c r="B240" s="75"/>
      <c r="C240" s="4" t="s">
        <v>407</v>
      </c>
      <c r="D240" s="35"/>
      <c r="E240" s="36"/>
      <c r="F240" s="36"/>
      <c r="G240" s="36"/>
      <c r="H240" s="37"/>
      <c r="I240" s="35">
        <f t="shared" si="119"/>
        <v>4482403.1999999993</v>
      </c>
      <c r="J240" s="36"/>
      <c r="K240" s="39">
        <v>4482403.1999999993</v>
      </c>
      <c r="L240" s="39"/>
      <c r="M240" s="37"/>
      <c r="N240" s="35">
        <f t="shared" si="125"/>
        <v>3613229.2644000002</v>
      </c>
      <c r="O240" s="36"/>
      <c r="P240" s="36">
        <v>3613229.2644000002</v>
      </c>
      <c r="Q240" s="36"/>
      <c r="R240" s="37"/>
      <c r="S240" s="29">
        <f t="shared" si="121"/>
        <v>0.8060919786064763</v>
      </c>
      <c r="T240" s="30" t="str">
        <f t="shared" si="122"/>
        <v xml:space="preserve"> </v>
      </c>
      <c r="U240" s="30">
        <f t="shared" si="123"/>
        <v>0.8060919786064763</v>
      </c>
      <c r="V240" s="30" t="str">
        <f t="shared" si="124"/>
        <v xml:space="preserve"> </v>
      </c>
      <c r="W240" s="30" t="str">
        <f t="shared" si="124"/>
        <v xml:space="preserve"> </v>
      </c>
    </row>
    <row r="241" spans="1:23" ht="81.75" customHeight="1" x14ac:dyDescent="0.2">
      <c r="A241" s="74"/>
      <c r="B241" s="75"/>
      <c r="C241" s="41" t="s">
        <v>408</v>
      </c>
      <c r="D241" s="35"/>
      <c r="E241" s="36"/>
      <c r="F241" s="36"/>
      <c r="G241" s="36"/>
      <c r="H241" s="37"/>
      <c r="I241" s="35">
        <f t="shared" si="119"/>
        <v>683718.5</v>
      </c>
      <c r="J241" s="36"/>
      <c r="K241" s="39">
        <v>683718.5</v>
      </c>
      <c r="L241" s="36"/>
      <c r="M241" s="37"/>
      <c r="N241" s="35">
        <f t="shared" si="125"/>
        <v>670830.76300000004</v>
      </c>
      <c r="O241" s="36"/>
      <c r="P241" s="36">
        <v>670830.76300000004</v>
      </c>
      <c r="Q241" s="36"/>
      <c r="R241" s="37"/>
      <c r="S241" s="29">
        <f t="shared" si="121"/>
        <v>0.98115052174250084</v>
      </c>
      <c r="T241" s="30" t="str">
        <f t="shared" si="122"/>
        <v xml:space="preserve"> </v>
      </c>
      <c r="U241" s="30">
        <f t="shared" si="123"/>
        <v>0.98115052174250084</v>
      </c>
      <c r="V241" s="30" t="str">
        <f t="shared" si="124"/>
        <v xml:space="preserve"> </v>
      </c>
      <c r="W241" s="30" t="str">
        <f t="shared" si="124"/>
        <v xml:space="preserve"> </v>
      </c>
    </row>
    <row r="242" spans="1:23" ht="64.5" customHeight="1" x14ac:dyDescent="0.2">
      <c r="A242" s="74"/>
      <c r="B242" s="75"/>
      <c r="C242" s="4" t="s">
        <v>409</v>
      </c>
      <c r="D242" s="35"/>
      <c r="E242" s="36"/>
      <c r="F242" s="36"/>
      <c r="G242" s="36"/>
      <c r="H242" s="37"/>
      <c r="I242" s="35">
        <f t="shared" si="119"/>
        <v>13783.8</v>
      </c>
      <c r="J242" s="36"/>
      <c r="K242" s="39"/>
      <c r="L242" s="39">
        <v>13783.8</v>
      </c>
      <c r="M242" s="37"/>
      <c r="N242" s="35">
        <f t="shared" si="125"/>
        <v>13783.705</v>
      </c>
      <c r="O242" s="36"/>
      <c r="P242" s="36"/>
      <c r="Q242" s="39">
        <v>13783.705</v>
      </c>
      <c r="R242" s="37"/>
      <c r="S242" s="29">
        <f t="shared" si="121"/>
        <v>0.99999310785124573</v>
      </c>
      <c r="T242" s="30" t="str">
        <f t="shared" si="122"/>
        <v xml:space="preserve"> </v>
      </c>
      <c r="U242" s="30" t="str">
        <f t="shared" si="123"/>
        <v xml:space="preserve"> </v>
      </c>
      <c r="V242" s="30">
        <f t="shared" si="124"/>
        <v>0.99999310785124573</v>
      </c>
      <c r="W242" s="30" t="str">
        <f t="shared" si="124"/>
        <v xml:space="preserve"> </v>
      </c>
    </row>
    <row r="243" spans="1:23" ht="63" customHeight="1" x14ac:dyDescent="0.2">
      <c r="A243" s="74"/>
      <c r="B243" s="75"/>
      <c r="C243" s="50" t="s">
        <v>410</v>
      </c>
      <c r="D243" s="35"/>
      <c r="E243" s="36"/>
      <c r="F243" s="36"/>
      <c r="G243" s="36"/>
      <c r="H243" s="37"/>
      <c r="I243" s="35">
        <f t="shared" si="119"/>
        <v>286222.10000000003</v>
      </c>
      <c r="J243" s="36"/>
      <c r="K243" s="39">
        <v>283784.7</v>
      </c>
      <c r="L243" s="39">
        <v>2437.4</v>
      </c>
      <c r="M243" s="37"/>
      <c r="N243" s="35">
        <f t="shared" si="125"/>
        <v>286069.00699999998</v>
      </c>
      <c r="O243" s="36"/>
      <c r="P243" s="36">
        <v>283631.734</v>
      </c>
      <c r="Q243" s="39">
        <v>2437.2730000000001</v>
      </c>
      <c r="R243" s="37"/>
      <c r="S243" s="29">
        <f t="shared" si="121"/>
        <v>0.99946512515979702</v>
      </c>
      <c r="T243" s="30" t="str">
        <f t="shared" si="122"/>
        <v xml:space="preserve"> </v>
      </c>
      <c r="U243" s="30">
        <f t="shared" si="123"/>
        <v>0.99946097869264972</v>
      </c>
      <c r="V243" s="30">
        <f t="shared" si="124"/>
        <v>0.99994789529826866</v>
      </c>
      <c r="W243" s="30" t="str">
        <f t="shared" si="124"/>
        <v xml:space="preserve"> </v>
      </c>
    </row>
    <row r="244" spans="1:23" ht="63" customHeight="1" x14ac:dyDescent="0.2">
      <c r="A244" s="74"/>
      <c r="B244" s="75"/>
      <c r="C244" s="4" t="s">
        <v>411</v>
      </c>
      <c r="D244" s="35"/>
      <c r="E244" s="36"/>
      <c r="F244" s="36"/>
      <c r="G244" s="36"/>
      <c r="H244" s="37"/>
      <c r="I244" s="35">
        <f t="shared" si="119"/>
        <v>4824.4000000000005</v>
      </c>
      <c r="J244" s="36"/>
      <c r="K244" s="39"/>
      <c r="L244" s="39">
        <v>4824.4000000000005</v>
      </c>
      <c r="M244" s="37"/>
      <c r="N244" s="35">
        <f t="shared" si="125"/>
        <v>4824.3089999999993</v>
      </c>
      <c r="O244" s="36"/>
      <c r="P244" s="36"/>
      <c r="Q244" s="39">
        <v>4824.3089999999993</v>
      </c>
      <c r="R244" s="37"/>
      <c r="S244" s="29">
        <f t="shared" si="121"/>
        <v>0.99998113755078322</v>
      </c>
      <c r="T244" s="30" t="str">
        <f t="shared" si="122"/>
        <v xml:space="preserve"> </v>
      </c>
      <c r="U244" s="30" t="str">
        <f t="shared" si="123"/>
        <v xml:space="preserve"> </v>
      </c>
      <c r="V244" s="30">
        <f t="shared" si="124"/>
        <v>0.99998113755078322</v>
      </c>
      <c r="W244" s="30" t="str">
        <f t="shared" si="124"/>
        <v xml:space="preserve"> </v>
      </c>
    </row>
    <row r="245" spans="1:23" ht="89.25" customHeight="1" x14ac:dyDescent="0.2">
      <c r="A245" s="74"/>
      <c r="B245" s="75"/>
      <c r="C245" s="4" t="s">
        <v>412</v>
      </c>
      <c r="D245" s="35"/>
      <c r="E245" s="36"/>
      <c r="F245" s="36"/>
      <c r="G245" s="36"/>
      <c r="H245" s="37"/>
      <c r="I245" s="35">
        <f t="shared" si="119"/>
        <v>3351.7</v>
      </c>
      <c r="J245" s="36"/>
      <c r="K245" s="39"/>
      <c r="L245" s="39">
        <v>3351.7</v>
      </c>
      <c r="M245" s="37"/>
      <c r="N245" s="35">
        <f t="shared" si="125"/>
        <v>2346.2040000000002</v>
      </c>
      <c r="O245" s="36"/>
      <c r="P245" s="36"/>
      <c r="Q245" s="36">
        <v>2346.2040000000002</v>
      </c>
      <c r="R245" s="37"/>
      <c r="S245" s="29">
        <f t="shared" si="121"/>
        <v>0.70000417698481376</v>
      </c>
      <c r="T245" s="30" t="str">
        <f t="shared" si="122"/>
        <v xml:space="preserve"> </v>
      </c>
      <c r="U245" s="30" t="str">
        <f t="shared" si="123"/>
        <v xml:space="preserve"> </v>
      </c>
      <c r="V245" s="30">
        <f t="shared" si="124"/>
        <v>0.70000417698481376</v>
      </c>
      <c r="W245" s="30" t="str">
        <f t="shared" si="124"/>
        <v xml:space="preserve"> </v>
      </c>
    </row>
    <row r="246" spans="1:23" ht="63" customHeight="1" x14ac:dyDescent="0.2">
      <c r="A246" s="74"/>
      <c r="B246" s="75"/>
      <c r="C246" s="45" t="s">
        <v>413</v>
      </c>
      <c r="D246" s="35"/>
      <c r="E246" s="36"/>
      <c r="F246" s="36"/>
      <c r="G246" s="36"/>
      <c r="H246" s="37"/>
      <c r="I246" s="35">
        <f t="shared" si="119"/>
        <v>360519.3</v>
      </c>
      <c r="J246" s="36"/>
      <c r="K246" s="39">
        <v>360519.3</v>
      </c>
      <c r="L246" s="39"/>
      <c r="M246" s="37"/>
      <c r="N246" s="35">
        <f t="shared" si="125"/>
        <v>27753.516</v>
      </c>
      <c r="O246" s="36"/>
      <c r="P246" s="36">
        <v>27753.516</v>
      </c>
      <c r="Q246" s="36"/>
      <c r="R246" s="37"/>
      <c r="S246" s="29">
        <f t="shared" si="121"/>
        <v>7.6982053387987831E-2</v>
      </c>
      <c r="T246" s="30" t="str">
        <f t="shared" si="122"/>
        <v xml:space="preserve"> </v>
      </c>
      <c r="U246" s="30">
        <f t="shared" si="123"/>
        <v>7.6982053387987831E-2</v>
      </c>
      <c r="V246" s="30" t="str">
        <f t="shared" si="124"/>
        <v xml:space="preserve"> </v>
      </c>
      <c r="W246" s="30" t="str">
        <f t="shared" si="124"/>
        <v xml:space="preserve"> </v>
      </c>
    </row>
    <row r="247" spans="1:23" ht="64.5" customHeight="1" x14ac:dyDescent="0.2">
      <c r="A247" s="74"/>
      <c r="B247" s="75"/>
      <c r="C247" s="45" t="s">
        <v>414</v>
      </c>
      <c r="D247" s="35"/>
      <c r="E247" s="36"/>
      <c r="F247" s="36"/>
      <c r="G247" s="36"/>
      <c r="H247" s="37"/>
      <c r="I247" s="35">
        <f t="shared" si="119"/>
        <v>3082817.8000000003</v>
      </c>
      <c r="J247" s="36"/>
      <c r="K247" s="39">
        <v>3049742.8000000003</v>
      </c>
      <c r="L247" s="39">
        <v>33075</v>
      </c>
      <c r="M247" s="37"/>
      <c r="N247" s="35">
        <f t="shared" si="125"/>
        <v>3064175.0919999997</v>
      </c>
      <c r="O247" s="36"/>
      <c r="P247" s="36">
        <v>3032405.0919999997</v>
      </c>
      <c r="Q247" s="36">
        <v>31770</v>
      </c>
      <c r="R247" s="37"/>
      <c r="S247" s="29">
        <f t="shared" si="121"/>
        <v>0.99395270521663637</v>
      </c>
      <c r="T247" s="30" t="str">
        <f t="shared" si="122"/>
        <v xml:space="preserve"> </v>
      </c>
      <c r="U247" s="30">
        <f t="shared" si="123"/>
        <v>0.99431502617204293</v>
      </c>
      <c r="V247" s="30">
        <f t="shared" si="124"/>
        <v>0.96054421768707487</v>
      </c>
      <c r="W247" s="30" t="str">
        <f t="shared" si="124"/>
        <v xml:space="preserve"> </v>
      </c>
    </row>
    <row r="248" spans="1:23" ht="59.25" customHeight="1" x14ac:dyDescent="0.2">
      <c r="A248" s="74"/>
      <c r="B248" s="75"/>
      <c r="C248" s="45" t="s">
        <v>415</v>
      </c>
      <c r="D248" s="35"/>
      <c r="E248" s="36"/>
      <c r="F248" s="36"/>
      <c r="G248" s="36"/>
      <c r="H248" s="37"/>
      <c r="I248" s="35">
        <f t="shared" si="119"/>
        <v>2827176.2</v>
      </c>
      <c r="J248" s="36"/>
      <c r="K248" s="39">
        <v>2827176.2</v>
      </c>
      <c r="L248" s="39"/>
      <c r="M248" s="37"/>
      <c r="N248" s="35">
        <f t="shared" si="125"/>
        <v>2663791.9589999998</v>
      </c>
      <c r="O248" s="36"/>
      <c r="P248" s="36">
        <v>2663791.9589999998</v>
      </c>
      <c r="Q248" s="39"/>
      <c r="R248" s="37"/>
      <c r="S248" s="29">
        <f t="shared" si="121"/>
        <v>0.94220938864723025</v>
      </c>
      <c r="T248" s="30" t="str">
        <f t="shared" si="122"/>
        <v xml:space="preserve"> </v>
      </c>
      <c r="U248" s="30">
        <f t="shared" si="123"/>
        <v>0.94220938864723025</v>
      </c>
      <c r="V248" s="30" t="str">
        <f t="shared" si="124"/>
        <v xml:space="preserve"> </v>
      </c>
      <c r="W248" s="30" t="str">
        <f t="shared" si="124"/>
        <v xml:space="preserve"> </v>
      </c>
    </row>
    <row r="249" spans="1:23" ht="56.25" customHeight="1" x14ac:dyDescent="0.2">
      <c r="A249" s="74"/>
      <c r="B249" s="75"/>
      <c r="C249" s="42" t="s">
        <v>416</v>
      </c>
      <c r="D249" s="35"/>
      <c r="E249" s="36"/>
      <c r="F249" s="36"/>
      <c r="G249" s="36"/>
      <c r="H249" s="37"/>
      <c r="I249" s="35">
        <f t="shared" si="119"/>
        <v>18825</v>
      </c>
      <c r="J249" s="36"/>
      <c r="K249" s="39"/>
      <c r="L249" s="39">
        <v>18825</v>
      </c>
      <c r="M249" s="37"/>
      <c r="N249" s="35">
        <f t="shared" si="125"/>
        <v>12180</v>
      </c>
      <c r="O249" s="36"/>
      <c r="P249" s="36"/>
      <c r="Q249" s="36">
        <v>12180</v>
      </c>
      <c r="R249" s="37"/>
      <c r="S249" s="29">
        <f t="shared" si="121"/>
        <v>0.64701195219123508</v>
      </c>
      <c r="T249" s="30" t="str">
        <f t="shared" si="122"/>
        <v xml:space="preserve"> </v>
      </c>
      <c r="U249" s="30" t="str">
        <f t="shared" si="123"/>
        <v xml:space="preserve"> </v>
      </c>
      <c r="V249" s="30">
        <f t="shared" si="124"/>
        <v>0.64701195219123508</v>
      </c>
      <c r="W249" s="30" t="str">
        <f t="shared" si="124"/>
        <v xml:space="preserve"> </v>
      </c>
    </row>
    <row r="250" spans="1:23" ht="53.25" customHeight="1" x14ac:dyDescent="0.2">
      <c r="A250" s="74"/>
      <c r="B250" s="75"/>
      <c r="C250" s="45" t="s">
        <v>417</v>
      </c>
      <c r="D250" s="35"/>
      <c r="E250" s="36"/>
      <c r="F250" s="36"/>
      <c r="G250" s="36"/>
      <c r="H250" s="37"/>
      <c r="I250" s="35">
        <f t="shared" si="119"/>
        <v>126413</v>
      </c>
      <c r="J250" s="36"/>
      <c r="K250" s="39">
        <v>126413</v>
      </c>
      <c r="L250" s="39"/>
      <c r="M250" s="37"/>
      <c r="N250" s="35">
        <f t="shared" si="125"/>
        <v>126412.864</v>
      </c>
      <c r="O250" s="36"/>
      <c r="P250" s="36">
        <v>126412.864</v>
      </c>
      <c r="Q250" s="36"/>
      <c r="R250" s="37"/>
      <c r="S250" s="29">
        <f t="shared" si="121"/>
        <v>0.99999892416128089</v>
      </c>
      <c r="T250" s="30" t="str">
        <f t="shared" si="122"/>
        <v xml:space="preserve"> </v>
      </c>
      <c r="U250" s="30">
        <f t="shared" si="123"/>
        <v>0.99999892416128089</v>
      </c>
      <c r="V250" s="30" t="str">
        <f t="shared" si="124"/>
        <v xml:space="preserve"> </v>
      </c>
      <c r="W250" s="30" t="str">
        <f t="shared" si="124"/>
        <v xml:space="preserve"> </v>
      </c>
    </row>
    <row r="251" spans="1:23" ht="93.75" customHeight="1" x14ac:dyDescent="0.2">
      <c r="A251" s="74"/>
      <c r="B251" s="75"/>
      <c r="C251" s="45" t="s">
        <v>840</v>
      </c>
      <c r="D251" s="35"/>
      <c r="E251" s="36"/>
      <c r="F251" s="36"/>
      <c r="G251" s="36"/>
      <c r="H251" s="37"/>
      <c r="I251" s="35">
        <f t="shared" si="119"/>
        <v>355360.7</v>
      </c>
      <c r="J251" s="36"/>
      <c r="K251" s="39">
        <v>355360.7</v>
      </c>
      <c r="L251" s="39"/>
      <c r="M251" s="37"/>
      <c r="N251" s="35">
        <f t="shared" si="125"/>
        <v>351035.39299999998</v>
      </c>
      <c r="O251" s="36"/>
      <c r="P251" s="36">
        <v>351035.39299999998</v>
      </c>
      <c r="Q251" s="39"/>
      <c r="R251" s="37"/>
      <c r="S251" s="29">
        <f t="shared" si="121"/>
        <v>0.98782840364733626</v>
      </c>
      <c r="T251" s="30" t="str">
        <f t="shared" si="122"/>
        <v xml:space="preserve"> </v>
      </c>
      <c r="U251" s="30">
        <f t="shared" si="123"/>
        <v>0.98782840364733626</v>
      </c>
      <c r="V251" s="30" t="str">
        <f t="shared" si="124"/>
        <v xml:space="preserve"> </v>
      </c>
      <c r="W251" s="30" t="str">
        <f t="shared" si="124"/>
        <v xml:space="preserve"> </v>
      </c>
    </row>
    <row r="252" spans="1:23" ht="75.75" customHeight="1" x14ac:dyDescent="0.2">
      <c r="A252" s="74"/>
      <c r="B252" s="75"/>
      <c r="C252" s="45" t="s">
        <v>418</v>
      </c>
      <c r="D252" s="35"/>
      <c r="E252" s="36"/>
      <c r="F252" s="36"/>
      <c r="G252" s="36"/>
      <c r="H252" s="37"/>
      <c r="I252" s="35">
        <f t="shared" si="119"/>
        <v>160922.1</v>
      </c>
      <c r="J252" s="36"/>
      <c r="K252" s="39">
        <v>160922.1</v>
      </c>
      <c r="L252" s="39"/>
      <c r="M252" s="37"/>
      <c r="N252" s="35">
        <f t="shared" si="125"/>
        <v>158928.76500000001</v>
      </c>
      <c r="O252" s="36"/>
      <c r="P252" s="36">
        <v>158928.76500000001</v>
      </c>
      <c r="Q252" s="39"/>
      <c r="R252" s="37"/>
      <c r="S252" s="29">
        <f t="shared" si="121"/>
        <v>0.98761304382679571</v>
      </c>
      <c r="T252" s="30" t="str">
        <f t="shared" si="122"/>
        <v xml:space="preserve"> </v>
      </c>
      <c r="U252" s="30">
        <f t="shared" si="123"/>
        <v>0.98761304382679571</v>
      </c>
      <c r="V252" s="30" t="str">
        <f t="shared" si="124"/>
        <v xml:space="preserve"> </v>
      </c>
      <c r="W252" s="30" t="str">
        <f t="shared" si="124"/>
        <v xml:space="preserve"> </v>
      </c>
    </row>
    <row r="253" spans="1:23" ht="78" customHeight="1" x14ac:dyDescent="0.2">
      <c r="A253" s="74"/>
      <c r="B253" s="75"/>
      <c r="C253" s="45" t="s">
        <v>419</v>
      </c>
      <c r="D253" s="35"/>
      <c r="E253" s="36"/>
      <c r="F253" s="36"/>
      <c r="G253" s="36"/>
      <c r="H253" s="37"/>
      <c r="I253" s="35">
        <f t="shared" si="119"/>
        <v>69955.399999999994</v>
      </c>
      <c r="J253" s="36"/>
      <c r="K253" s="39">
        <v>69955.399999999994</v>
      </c>
      <c r="L253" s="39"/>
      <c r="M253" s="37"/>
      <c r="N253" s="35">
        <f t="shared" si="125"/>
        <v>66955.501999999993</v>
      </c>
      <c r="O253" s="36"/>
      <c r="P253" s="36">
        <v>66955.501999999993</v>
      </c>
      <c r="Q253" s="36"/>
      <c r="R253" s="37"/>
      <c r="S253" s="29">
        <f t="shared" si="121"/>
        <v>0.95711699168327247</v>
      </c>
      <c r="T253" s="30" t="str">
        <f t="shared" si="122"/>
        <v xml:space="preserve"> </v>
      </c>
      <c r="U253" s="30">
        <f t="shared" si="123"/>
        <v>0.95711699168327247</v>
      </c>
      <c r="V253" s="30" t="str">
        <f t="shared" si="124"/>
        <v xml:space="preserve"> </v>
      </c>
      <c r="W253" s="30" t="str">
        <f t="shared" si="124"/>
        <v xml:space="preserve"> </v>
      </c>
    </row>
    <row r="254" spans="1:23" ht="75.75" customHeight="1" x14ac:dyDescent="0.2">
      <c r="A254" s="74"/>
      <c r="B254" s="75"/>
      <c r="C254" s="45" t="s">
        <v>420</v>
      </c>
      <c r="D254" s="35"/>
      <c r="E254" s="36"/>
      <c r="F254" s="36"/>
      <c r="G254" s="36"/>
      <c r="H254" s="37"/>
      <c r="I254" s="35">
        <f t="shared" si="119"/>
        <v>0.1000000000349246</v>
      </c>
      <c r="J254" s="36"/>
      <c r="K254" s="39">
        <v>0.1000000000349246</v>
      </c>
      <c r="L254" s="39"/>
      <c r="M254" s="37"/>
      <c r="N254" s="35">
        <f t="shared" si="125"/>
        <v>0</v>
      </c>
      <c r="O254" s="36"/>
      <c r="P254" s="36"/>
      <c r="Q254" s="36"/>
      <c r="R254" s="37"/>
      <c r="S254" s="29">
        <f t="shared" si="121"/>
        <v>0</v>
      </c>
      <c r="T254" s="30" t="str">
        <f t="shared" si="122"/>
        <v xml:space="preserve"> </v>
      </c>
      <c r="U254" s="30">
        <f t="shared" si="123"/>
        <v>0</v>
      </c>
      <c r="V254" s="30" t="str">
        <f t="shared" si="124"/>
        <v xml:space="preserve"> </v>
      </c>
      <c r="W254" s="30" t="str">
        <f t="shared" si="124"/>
        <v xml:space="preserve"> </v>
      </c>
    </row>
    <row r="255" spans="1:23" ht="93.75" customHeight="1" x14ac:dyDescent="0.2">
      <c r="A255" s="74"/>
      <c r="B255" s="75"/>
      <c r="C255" s="45" t="s">
        <v>421</v>
      </c>
      <c r="D255" s="35"/>
      <c r="E255" s="36"/>
      <c r="F255" s="36"/>
      <c r="G255" s="36"/>
      <c r="H255" s="37"/>
      <c r="I255" s="35">
        <f t="shared" si="119"/>
        <v>2164.3000000000011</v>
      </c>
      <c r="J255" s="36"/>
      <c r="K255" s="39">
        <v>2164.3000000000011</v>
      </c>
      <c r="L255" s="36"/>
      <c r="M255" s="37"/>
      <c r="N255" s="35">
        <f t="shared" si="125"/>
        <v>2164.2139999999999</v>
      </c>
      <c r="O255" s="36"/>
      <c r="P255" s="36">
        <v>2164.2139999999999</v>
      </c>
      <c r="Q255" s="36"/>
      <c r="R255" s="37"/>
      <c r="S255" s="29">
        <f t="shared" si="121"/>
        <v>0.99996026428868401</v>
      </c>
      <c r="T255" s="30" t="str">
        <f t="shared" si="122"/>
        <v xml:space="preserve"> </v>
      </c>
      <c r="U255" s="30">
        <f t="shared" si="123"/>
        <v>0.99996026428868401</v>
      </c>
      <c r="V255" s="30" t="str">
        <f t="shared" si="124"/>
        <v xml:space="preserve"> </v>
      </c>
      <c r="W255" s="30" t="str">
        <f t="shared" si="124"/>
        <v xml:space="preserve"> </v>
      </c>
    </row>
    <row r="256" spans="1:23" ht="81" customHeight="1" x14ac:dyDescent="0.2">
      <c r="A256" s="74"/>
      <c r="B256" s="75"/>
      <c r="C256" s="4" t="s">
        <v>422</v>
      </c>
      <c r="D256" s="35"/>
      <c r="E256" s="36"/>
      <c r="F256" s="36"/>
      <c r="G256" s="36"/>
      <c r="H256" s="37"/>
      <c r="I256" s="35">
        <f t="shared" ref="I256:I270" si="126">SUM(J256:M256)</f>
        <v>1971</v>
      </c>
      <c r="J256" s="36"/>
      <c r="K256" s="39"/>
      <c r="L256" s="39">
        <v>1971</v>
      </c>
      <c r="M256" s="37"/>
      <c r="N256" s="35">
        <f t="shared" si="125"/>
        <v>1825.3679999999999</v>
      </c>
      <c r="O256" s="36"/>
      <c r="P256" s="36"/>
      <c r="Q256" s="39">
        <v>1825.3679999999999</v>
      </c>
      <c r="R256" s="37"/>
      <c r="S256" s="29">
        <f t="shared" si="121"/>
        <v>0.92611263318112635</v>
      </c>
      <c r="T256" s="30" t="str">
        <f t="shared" si="122"/>
        <v xml:space="preserve"> </v>
      </c>
      <c r="U256" s="30" t="str">
        <f t="shared" si="123"/>
        <v xml:space="preserve"> </v>
      </c>
      <c r="V256" s="30">
        <f t="shared" si="124"/>
        <v>0.92611263318112635</v>
      </c>
      <c r="W256" s="30" t="str">
        <f t="shared" si="124"/>
        <v xml:space="preserve"> </v>
      </c>
    </row>
    <row r="257" spans="1:23" ht="44.25" customHeight="1" x14ac:dyDescent="0.2">
      <c r="A257" s="74"/>
      <c r="B257" s="75"/>
      <c r="C257" s="45" t="s">
        <v>423</v>
      </c>
      <c r="D257" s="35"/>
      <c r="E257" s="36"/>
      <c r="F257" s="36"/>
      <c r="G257" s="36"/>
      <c r="H257" s="37"/>
      <c r="I257" s="35">
        <f t="shared" si="126"/>
        <v>1488861.7</v>
      </c>
      <c r="J257" s="39">
        <v>1475311.7</v>
      </c>
      <c r="K257" s="39"/>
      <c r="L257" s="39">
        <v>13550</v>
      </c>
      <c r="M257" s="37"/>
      <c r="N257" s="35">
        <f t="shared" si="125"/>
        <v>1434222.64</v>
      </c>
      <c r="O257" s="36">
        <v>1422522.64</v>
      </c>
      <c r="P257" s="36"/>
      <c r="Q257" s="36">
        <v>11700</v>
      </c>
      <c r="R257" s="37"/>
      <c r="S257" s="29">
        <f t="shared" si="121"/>
        <v>0.96330145372132281</v>
      </c>
      <c r="T257" s="30">
        <f t="shared" si="122"/>
        <v>0.96421836822686346</v>
      </c>
      <c r="U257" s="30" t="str">
        <f t="shared" si="123"/>
        <v xml:space="preserve"> </v>
      </c>
      <c r="V257" s="30">
        <f t="shared" si="124"/>
        <v>0.86346863468634683</v>
      </c>
      <c r="W257" s="30" t="str">
        <f t="shared" si="124"/>
        <v xml:space="preserve"> </v>
      </c>
    </row>
    <row r="258" spans="1:23" ht="48.75" customHeight="1" x14ac:dyDescent="0.2">
      <c r="A258" s="74"/>
      <c r="B258" s="75"/>
      <c r="C258" s="45" t="s">
        <v>424</v>
      </c>
      <c r="D258" s="35"/>
      <c r="E258" s="36"/>
      <c r="F258" s="36"/>
      <c r="G258" s="36"/>
      <c r="H258" s="37"/>
      <c r="I258" s="35">
        <f t="shared" si="126"/>
        <v>1495991.6</v>
      </c>
      <c r="J258" s="36"/>
      <c r="K258" s="39">
        <v>1484561.6</v>
      </c>
      <c r="L258" s="39">
        <v>11430</v>
      </c>
      <c r="M258" s="37"/>
      <c r="N258" s="35">
        <f t="shared" si="125"/>
        <v>1304228.8189999999</v>
      </c>
      <c r="O258" s="36"/>
      <c r="P258" s="36">
        <v>1294328.8189999999</v>
      </c>
      <c r="Q258" s="36">
        <v>9900</v>
      </c>
      <c r="R258" s="37"/>
      <c r="S258" s="29">
        <f t="shared" si="121"/>
        <v>0.8718156031090013</v>
      </c>
      <c r="T258" s="30" t="str">
        <f t="shared" si="122"/>
        <v xml:space="preserve"> </v>
      </c>
      <c r="U258" s="30">
        <f t="shared" si="123"/>
        <v>0.87185928761730047</v>
      </c>
      <c r="V258" s="30">
        <f t="shared" si="124"/>
        <v>0.86614173228346458</v>
      </c>
      <c r="W258" s="30" t="str">
        <f t="shared" si="124"/>
        <v xml:space="preserve"> </v>
      </c>
    </row>
    <row r="259" spans="1:23" ht="113.25" customHeight="1" x14ac:dyDescent="0.2">
      <c r="A259" s="74"/>
      <c r="B259" s="75"/>
      <c r="C259" s="4" t="s">
        <v>425</v>
      </c>
      <c r="D259" s="35"/>
      <c r="E259" s="36"/>
      <c r="F259" s="36"/>
      <c r="G259" s="36"/>
      <c r="H259" s="37"/>
      <c r="I259" s="35">
        <f t="shared" si="126"/>
        <v>0.10000000000582077</v>
      </c>
      <c r="J259" s="36"/>
      <c r="K259" s="39">
        <v>0.10000000000582077</v>
      </c>
      <c r="L259" s="39"/>
      <c r="M259" s="37"/>
      <c r="N259" s="35">
        <f t="shared" si="125"/>
        <v>0</v>
      </c>
      <c r="O259" s="36"/>
      <c r="P259" s="36"/>
      <c r="Q259" s="36"/>
      <c r="R259" s="37"/>
      <c r="S259" s="29">
        <f t="shared" si="121"/>
        <v>0</v>
      </c>
      <c r="T259" s="30" t="str">
        <f t="shared" si="122"/>
        <v xml:space="preserve"> </v>
      </c>
      <c r="U259" s="30">
        <f t="shared" si="123"/>
        <v>0</v>
      </c>
      <c r="V259" s="30" t="str">
        <f t="shared" si="124"/>
        <v xml:space="preserve"> </v>
      </c>
      <c r="W259" s="30" t="str">
        <f t="shared" si="124"/>
        <v xml:space="preserve"> </v>
      </c>
    </row>
    <row r="260" spans="1:23" ht="57.75" customHeight="1" x14ac:dyDescent="0.2">
      <c r="A260" s="74"/>
      <c r="B260" s="75"/>
      <c r="C260" s="51" t="s">
        <v>841</v>
      </c>
      <c r="D260" s="35"/>
      <c r="E260" s="36"/>
      <c r="F260" s="36"/>
      <c r="G260" s="36"/>
      <c r="H260" s="37"/>
      <c r="I260" s="35">
        <f t="shared" si="126"/>
        <v>75300.899999999994</v>
      </c>
      <c r="J260" s="36"/>
      <c r="K260" s="39">
        <v>75300.899999999994</v>
      </c>
      <c r="L260" s="39"/>
      <c r="M260" s="37"/>
      <c r="N260" s="35">
        <f t="shared" si="125"/>
        <v>74842.704999999987</v>
      </c>
      <c r="O260" s="36"/>
      <c r="P260" s="36">
        <v>74842.704999999987</v>
      </c>
      <c r="Q260" s="36"/>
      <c r="R260" s="37"/>
      <c r="S260" s="29">
        <f t="shared" si="121"/>
        <v>0.99391514576850992</v>
      </c>
      <c r="T260" s="30" t="str">
        <f t="shared" si="122"/>
        <v xml:space="preserve"> </v>
      </c>
      <c r="U260" s="30">
        <f t="shared" si="123"/>
        <v>0.99391514576850992</v>
      </c>
      <c r="V260" s="30" t="str">
        <f t="shared" si="124"/>
        <v xml:space="preserve"> </v>
      </c>
      <c r="W260" s="30" t="str">
        <f t="shared" si="124"/>
        <v xml:space="preserve"> </v>
      </c>
    </row>
    <row r="261" spans="1:23" ht="63" customHeight="1" x14ac:dyDescent="0.2">
      <c r="A261" s="74"/>
      <c r="B261" s="75"/>
      <c r="C261" s="42" t="s">
        <v>842</v>
      </c>
      <c r="D261" s="35"/>
      <c r="E261" s="36"/>
      <c r="F261" s="36"/>
      <c r="G261" s="36"/>
      <c r="H261" s="37"/>
      <c r="I261" s="35">
        <f t="shared" si="126"/>
        <v>6205.6</v>
      </c>
      <c r="J261" s="36"/>
      <c r="K261" s="39"/>
      <c r="L261" s="39">
        <v>6205.6</v>
      </c>
      <c r="M261" s="37"/>
      <c r="N261" s="35">
        <f t="shared" si="125"/>
        <v>6205.51</v>
      </c>
      <c r="O261" s="36"/>
      <c r="P261" s="36"/>
      <c r="Q261" s="36">
        <v>6205.51</v>
      </c>
      <c r="R261" s="37"/>
      <c r="S261" s="29">
        <f t="shared" si="121"/>
        <v>0.99998549697047823</v>
      </c>
      <c r="T261" s="30" t="str">
        <f t="shared" si="122"/>
        <v xml:space="preserve"> </v>
      </c>
      <c r="U261" s="30" t="str">
        <f t="shared" si="123"/>
        <v xml:space="preserve"> </v>
      </c>
      <c r="V261" s="30">
        <f t="shared" si="124"/>
        <v>0.99998549697047823</v>
      </c>
      <c r="W261" s="30" t="str">
        <f t="shared" si="124"/>
        <v xml:space="preserve"> </v>
      </c>
    </row>
    <row r="262" spans="1:23" ht="52.5" customHeight="1" x14ac:dyDescent="0.2">
      <c r="A262" s="74"/>
      <c r="B262" s="75"/>
      <c r="C262" s="4" t="s">
        <v>426</v>
      </c>
      <c r="D262" s="35"/>
      <c r="E262" s="36"/>
      <c r="F262" s="36"/>
      <c r="G262" s="36"/>
      <c r="H262" s="37"/>
      <c r="I262" s="35">
        <f t="shared" si="126"/>
        <v>11505</v>
      </c>
      <c r="J262" s="36"/>
      <c r="K262" s="39"/>
      <c r="L262" s="39">
        <v>11505</v>
      </c>
      <c r="M262" s="37"/>
      <c r="N262" s="35">
        <f t="shared" si="125"/>
        <v>11357.027</v>
      </c>
      <c r="O262" s="36"/>
      <c r="P262" s="36"/>
      <c r="Q262" s="36">
        <v>11357.027</v>
      </c>
      <c r="R262" s="37"/>
      <c r="S262" s="29">
        <f t="shared" si="121"/>
        <v>0.98713837461973053</v>
      </c>
      <c r="T262" s="30" t="str">
        <f t="shared" si="122"/>
        <v xml:space="preserve"> </v>
      </c>
      <c r="U262" s="30" t="str">
        <f t="shared" si="123"/>
        <v xml:space="preserve"> </v>
      </c>
      <c r="V262" s="30">
        <f t="shared" si="124"/>
        <v>0.98713837461973053</v>
      </c>
      <c r="W262" s="30" t="str">
        <f t="shared" si="124"/>
        <v xml:space="preserve"> </v>
      </c>
    </row>
    <row r="263" spans="1:23" ht="66.75" customHeight="1" x14ac:dyDescent="0.2">
      <c r="A263" s="74"/>
      <c r="B263" s="75"/>
      <c r="C263" s="4" t="s">
        <v>427</v>
      </c>
      <c r="D263" s="35"/>
      <c r="E263" s="36"/>
      <c r="F263" s="36"/>
      <c r="G263" s="36"/>
      <c r="H263" s="37"/>
      <c r="I263" s="35">
        <f t="shared" si="126"/>
        <v>2491.1999999999998</v>
      </c>
      <c r="J263" s="36"/>
      <c r="K263" s="39"/>
      <c r="L263" s="39">
        <v>2491.1999999999998</v>
      </c>
      <c r="M263" s="37"/>
      <c r="N263" s="35">
        <f t="shared" si="125"/>
        <v>2455.5740000000001</v>
      </c>
      <c r="O263" s="36"/>
      <c r="P263" s="36"/>
      <c r="Q263" s="36">
        <v>2455.5740000000001</v>
      </c>
      <c r="R263" s="37"/>
      <c r="S263" s="29">
        <f t="shared" si="121"/>
        <v>0.98569926140012853</v>
      </c>
      <c r="T263" s="30" t="str">
        <f t="shared" si="122"/>
        <v xml:space="preserve"> </v>
      </c>
      <c r="U263" s="30" t="str">
        <f t="shared" si="123"/>
        <v xml:space="preserve"> </v>
      </c>
      <c r="V263" s="30">
        <f t="shared" si="124"/>
        <v>0.98569926140012853</v>
      </c>
      <c r="W263" s="30" t="str">
        <f t="shared" si="124"/>
        <v xml:space="preserve"> </v>
      </c>
    </row>
    <row r="264" spans="1:23" ht="83.25" customHeight="1" x14ac:dyDescent="0.2">
      <c r="A264" s="74"/>
      <c r="B264" s="75"/>
      <c r="C264" s="4" t="s">
        <v>843</v>
      </c>
      <c r="D264" s="35"/>
      <c r="E264" s="36"/>
      <c r="F264" s="36"/>
      <c r="G264" s="36"/>
      <c r="H264" s="37"/>
      <c r="I264" s="35">
        <f t="shared" si="126"/>
        <v>812</v>
      </c>
      <c r="J264" s="36"/>
      <c r="K264" s="39"/>
      <c r="L264" s="39">
        <v>812</v>
      </c>
      <c r="M264" s="37"/>
      <c r="N264" s="35">
        <f t="shared" si="125"/>
        <v>798.06100000000004</v>
      </c>
      <c r="O264" s="36"/>
      <c r="P264" s="36"/>
      <c r="Q264" s="36">
        <v>798.06100000000004</v>
      </c>
      <c r="R264" s="37"/>
      <c r="S264" s="29">
        <f t="shared" si="121"/>
        <v>0.98283374384236455</v>
      </c>
      <c r="T264" s="30" t="str">
        <f t="shared" si="122"/>
        <v xml:space="preserve"> </v>
      </c>
      <c r="U264" s="30" t="str">
        <f t="shared" si="123"/>
        <v xml:space="preserve"> </v>
      </c>
      <c r="V264" s="30">
        <f t="shared" si="124"/>
        <v>0.98283374384236455</v>
      </c>
      <c r="W264" s="30" t="str">
        <f t="shared" si="124"/>
        <v xml:space="preserve"> </v>
      </c>
    </row>
    <row r="265" spans="1:23" ht="40.5" customHeight="1" x14ac:dyDescent="0.2">
      <c r="A265" s="74"/>
      <c r="B265" s="75"/>
      <c r="C265" s="4" t="s">
        <v>428</v>
      </c>
      <c r="D265" s="35"/>
      <c r="E265" s="36"/>
      <c r="F265" s="36"/>
      <c r="G265" s="36"/>
      <c r="H265" s="37"/>
      <c r="I265" s="35">
        <f t="shared" si="126"/>
        <v>1964.6</v>
      </c>
      <c r="J265" s="36"/>
      <c r="K265" s="39"/>
      <c r="L265" s="39">
        <v>1964.6</v>
      </c>
      <c r="M265" s="37"/>
      <c r="N265" s="35">
        <f t="shared" si="125"/>
        <v>1933.7639999999999</v>
      </c>
      <c r="O265" s="36"/>
      <c r="P265" s="36"/>
      <c r="Q265" s="36">
        <v>1933.7639999999999</v>
      </c>
      <c r="R265" s="37"/>
      <c r="S265" s="29">
        <f t="shared" si="121"/>
        <v>0.98430418405782349</v>
      </c>
      <c r="T265" s="30" t="str">
        <f t="shared" si="122"/>
        <v xml:space="preserve"> </v>
      </c>
      <c r="U265" s="30" t="str">
        <f t="shared" si="123"/>
        <v xml:space="preserve"> </v>
      </c>
      <c r="V265" s="30">
        <f t="shared" si="124"/>
        <v>0.98430418405782349</v>
      </c>
      <c r="W265" s="30" t="str">
        <f t="shared" si="124"/>
        <v xml:space="preserve"> </v>
      </c>
    </row>
    <row r="266" spans="1:23" ht="54.75" customHeight="1" x14ac:dyDescent="0.2">
      <c r="A266" s="74"/>
      <c r="B266" s="75"/>
      <c r="C266" s="4" t="s">
        <v>429</v>
      </c>
      <c r="D266" s="35"/>
      <c r="E266" s="36"/>
      <c r="F266" s="36"/>
      <c r="G266" s="36"/>
      <c r="H266" s="37"/>
      <c r="I266" s="35">
        <f t="shared" si="126"/>
        <v>2491.1999999999998</v>
      </c>
      <c r="J266" s="36"/>
      <c r="K266" s="39"/>
      <c r="L266" s="39">
        <v>2491.1999999999998</v>
      </c>
      <c r="M266" s="37"/>
      <c r="N266" s="35">
        <f t="shared" si="125"/>
        <v>2455.5740000000001</v>
      </c>
      <c r="O266" s="36"/>
      <c r="P266" s="36"/>
      <c r="Q266" s="36">
        <v>2455.5740000000001</v>
      </c>
      <c r="R266" s="37"/>
      <c r="S266" s="29">
        <f t="shared" si="121"/>
        <v>0.98569926140012853</v>
      </c>
      <c r="T266" s="30" t="str">
        <f t="shared" si="122"/>
        <v xml:space="preserve"> </v>
      </c>
      <c r="U266" s="30" t="str">
        <f t="shared" si="123"/>
        <v xml:space="preserve"> </v>
      </c>
      <c r="V266" s="30">
        <f t="shared" si="124"/>
        <v>0.98569926140012853</v>
      </c>
      <c r="W266" s="30" t="str">
        <f t="shared" si="124"/>
        <v xml:space="preserve"> </v>
      </c>
    </row>
    <row r="267" spans="1:23" ht="69" customHeight="1" x14ac:dyDescent="0.2">
      <c r="A267" s="74"/>
      <c r="B267" s="75"/>
      <c r="C267" s="45" t="s">
        <v>430</v>
      </c>
      <c r="D267" s="35"/>
      <c r="E267" s="36"/>
      <c r="F267" s="36"/>
      <c r="G267" s="36"/>
      <c r="H267" s="37"/>
      <c r="I267" s="35">
        <f t="shared" si="126"/>
        <v>0.19999999999708962</v>
      </c>
      <c r="J267" s="36"/>
      <c r="K267" s="39">
        <v>0.19999999999708962</v>
      </c>
      <c r="L267" s="39"/>
      <c r="M267" s="37"/>
      <c r="N267" s="35">
        <f t="shared" si="125"/>
        <v>0</v>
      </c>
      <c r="O267" s="36"/>
      <c r="P267" s="36"/>
      <c r="Q267" s="36"/>
      <c r="R267" s="37"/>
      <c r="S267" s="29">
        <f t="shared" si="121"/>
        <v>0</v>
      </c>
      <c r="T267" s="30" t="str">
        <f t="shared" si="122"/>
        <v xml:space="preserve"> </v>
      </c>
      <c r="U267" s="30">
        <f t="shared" si="123"/>
        <v>0</v>
      </c>
      <c r="V267" s="30" t="str">
        <f t="shared" si="124"/>
        <v xml:space="preserve"> </v>
      </c>
      <c r="W267" s="30" t="str">
        <f t="shared" si="124"/>
        <v xml:space="preserve"> </v>
      </c>
    </row>
    <row r="268" spans="1:23" ht="100.5" customHeight="1" x14ac:dyDescent="0.2">
      <c r="A268" s="74"/>
      <c r="B268" s="75"/>
      <c r="C268" s="42" t="s">
        <v>431</v>
      </c>
      <c r="D268" s="35"/>
      <c r="E268" s="36"/>
      <c r="F268" s="36"/>
      <c r="G268" s="36"/>
      <c r="H268" s="37"/>
      <c r="I268" s="35">
        <f t="shared" si="126"/>
        <v>759.2</v>
      </c>
      <c r="J268" s="36"/>
      <c r="K268" s="39"/>
      <c r="L268" s="39">
        <v>759.2</v>
      </c>
      <c r="M268" s="37"/>
      <c r="N268" s="35">
        <f t="shared" si="125"/>
        <v>759.2</v>
      </c>
      <c r="O268" s="36"/>
      <c r="P268" s="36"/>
      <c r="Q268" s="39">
        <v>759.2</v>
      </c>
      <c r="R268" s="37"/>
      <c r="S268" s="29">
        <f t="shared" si="121"/>
        <v>1</v>
      </c>
      <c r="T268" s="30" t="str">
        <f t="shared" si="122"/>
        <v xml:space="preserve"> </v>
      </c>
      <c r="U268" s="30" t="str">
        <f t="shared" si="123"/>
        <v xml:space="preserve"> </v>
      </c>
      <c r="V268" s="30">
        <f t="shared" si="124"/>
        <v>1</v>
      </c>
      <c r="W268" s="30" t="str">
        <f t="shared" si="124"/>
        <v xml:space="preserve"> </v>
      </c>
    </row>
    <row r="269" spans="1:23" ht="59.25" customHeight="1" x14ac:dyDescent="0.2">
      <c r="A269" s="74"/>
      <c r="B269" s="75"/>
      <c r="C269" s="42" t="s">
        <v>432</v>
      </c>
      <c r="D269" s="35"/>
      <c r="E269" s="36"/>
      <c r="F269" s="36"/>
      <c r="G269" s="36"/>
      <c r="H269" s="37"/>
      <c r="I269" s="35">
        <f t="shared" si="126"/>
        <v>544928.1</v>
      </c>
      <c r="J269" s="36"/>
      <c r="K269" s="39">
        <v>544928.1</v>
      </c>
      <c r="L269" s="39"/>
      <c r="M269" s="37"/>
      <c r="N269" s="35">
        <f t="shared" si="125"/>
        <v>514934.81599999999</v>
      </c>
      <c r="O269" s="36"/>
      <c r="P269" s="36">
        <v>514934.81599999999</v>
      </c>
      <c r="Q269" s="36"/>
      <c r="R269" s="37"/>
      <c r="S269" s="29">
        <f t="shared" si="121"/>
        <v>0.94495919002892315</v>
      </c>
      <c r="T269" s="30" t="str">
        <f t="shared" si="122"/>
        <v xml:space="preserve"> </v>
      </c>
      <c r="U269" s="30">
        <f t="shared" si="123"/>
        <v>0.94495919002892315</v>
      </c>
      <c r="V269" s="30" t="str">
        <f t="shared" si="124"/>
        <v xml:space="preserve"> </v>
      </c>
      <c r="W269" s="30" t="str">
        <f t="shared" si="124"/>
        <v xml:space="preserve"> </v>
      </c>
    </row>
    <row r="270" spans="1:23" ht="65.25" customHeight="1" x14ac:dyDescent="0.2">
      <c r="A270" s="74"/>
      <c r="B270" s="75"/>
      <c r="C270" s="45" t="s">
        <v>433</v>
      </c>
      <c r="D270" s="35"/>
      <c r="E270" s="36"/>
      <c r="F270" s="36"/>
      <c r="G270" s="36"/>
      <c r="H270" s="37"/>
      <c r="I270" s="35">
        <f t="shared" si="126"/>
        <v>15719.2</v>
      </c>
      <c r="J270" s="36"/>
      <c r="K270" s="39">
        <v>15719.2</v>
      </c>
      <c r="L270" s="39"/>
      <c r="M270" s="37"/>
      <c r="N270" s="35">
        <f t="shared" si="125"/>
        <v>0</v>
      </c>
      <c r="O270" s="36"/>
      <c r="P270" s="36"/>
      <c r="Q270" s="36"/>
      <c r="R270" s="37"/>
      <c r="S270" s="29">
        <f t="shared" si="121"/>
        <v>0</v>
      </c>
      <c r="T270" s="30" t="str">
        <f t="shared" si="122"/>
        <v xml:space="preserve"> </v>
      </c>
      <c r="U270" s="30">
        <f t="shared" si="123"/>
        <v>0</v>
      </c>
      <c r="V270" s="30" t="str">
        <f t="shared" si="124"/>
        <v xml:space="preserve"> </v>
      </c>
      <c r="W270" s="30" t="str">
        <f t="shared" si="124"/>
        <v xml:space="preserve"> </v>
      </c>
    </row>
    <row r="271" spans="1:23" s="38" customFormat="1" ht="41.25" customHeight="1" x14ac:dyDescent="0.2">
      <c r="A271" s="72">
        <v>1049</v>
      </c>
      <c r="B271" s="76">
        <v>21002</v>
      </c>
      <c r="C271" s="1" t="s">
        <v>20</v>
      </c>
      <c r="D271" s="5">
        <f>SUM(E271:H271)</f>
        <v>1101000</v>
      </c>
      <c r="E271" s="6">
        <f>E273+E274</f>
        <v>0</v>
      </c>
      <c r="F271" s="6">
        <f>F273+F274</f>
        <v>1101000</v>
      </c>
      <c r="G271" s="6">
        <f t="shared" ref="G271:H271" si="127">G273+G274</f>
        <v>0</v>
      </c>
      <c r="H271" s="7">
        <f t="shared" si="127"/>
        <v>0</v>
      </c>
      <c r="I271" s="5">
        <f>SUM(J271:M271)</f>
        <v>439178.9</v>
      </c>
      <c r="J271" s="6">
        <f>J273+J274</f>
        <v>0</v>
      </c>
      <c r="K271" s="6">
        <f>K273+K274</f>
        <v>423104.9</v>
      </c>
      <c r="L271" s="6">
        <f t="shared" ref="L271:M271" si="128">L273+L274</f>
        <v>16074</v>
      </c>
      <c r="M271" s="7">
        <f t="shared" si="128"/>
        <v>0</v>
      </c>
      <c r="N271" s="5">
        <f t="shared" ref="N271:N281" si="129">SUM(O271:R271)</f>
        <v>409913.09299999994</v>
      </c>
      <c r="O271" s="6">
        <f>O273+O274</f>
        <v>0</v>
      </c>
      <c r="P271" s="6">
        <f>P273+P274</f>
        <v>400110.59299999994</v>
      </c>
      <c r="Q271" s="6">
        <f t="shared" ref="Q271:R271" si="130">Q273+Q274</f>
        <v>9802.5</v>
      </c>
      <c r="R271" s="7">
        <f t="shared" si="130"/>
        <v>0</v>
      </c>
      <c r="S271" s="26">
        <f t="shared" si="121"/>
        <v>0.93336244751284703</v>
      </c>
      <c r="T271" s="27" t="str">
        <f t="shared" si="122"/>
        <v xml:space="preserve"> </v>
      </c>
      <c r="U271" s="27">
        <f t="shared" si="123"/>
        <v>0.94565341360972166</v>
      </c>
      <c r="V271" s="27">
        <f t="shared" si="124"/>
        <v>0.60983575961179548</v>
      </c>
      <c r="W271" s="27" t="str">
        <f t="shared" si="124"/>
        <v xml:space="preserve"> </v>
      </c>
    </row>
    <row r="272" spans="1:23" ht="24.75" customHeight="1" x14ac:dyDescent="0.2">
      <c r="A272" s="74"/>
      <c r="B272" s="75"/>
      <c r="C272" s="4" t="s">
        <v>259</v>
      </c>
      <c r="D272" s="35"/>
      <c r="E272" s="36"/>
      <c r="F272" s="36"/>
      <c r="G272" s="36"/>
      <c r="H272" s="37"/>
      <c r="I272" s="35"/>
      <c r="J272" s="36"/>
      <c r="K272" s="36"/>
      <c r="L272" s="36"/>
      <c r="M272" s="37"/>
      <c r="N272" s="35"/>
      <c r="O272" s="36"/>
      <c r="P272" s="36"/>
      <c r="Q272" s="36"/>
      <c r="R272" s="37"/>
      <c r="S272" s="29" t="str">
        <f t="shared" si="121"/>
        <v xml:space="preserve"> </v>
      </c>
      <c r="T272" s="30" t="str">
        <f t="shared" si="122"/>
        <v xml:space="preserve"> </v>
      </c>
      <c r="U272" s="30" t="str">
        <f t="shared" si="123"/>
        <v xml:space="preserve"> </v>
      </c>
      <c r="V272" s="30" t="str">
        <f t="shared" si="124"/>
        <v xml:space="preserve"> </v>
      </c>
      <c r="W272" s="30" t="str">
        <f t="shared" si="124"/>
        <v xml:space="preserve"> </v>
      </c>
    </row>
    <row r="273" spans="1:23" s="38" customFormat="1" ht="27" customHeight="1" x14ac:dyDescent="0.2">
      <c r="A273" s="72"/>
      <c r="B273" s="76"/>
      <c r="C273" s="1" t="s">
        <v>260</v>
      </c>
      <c r="D273" s="5">
        <f>SUM(E273:H273)</f>
        <v>1101000</v>
      </c>
      <c r="E273" s="6"/>
      <c r="F273" s="6">
        <v>1101000</v>
      </c>
      <c r="G273" s="6"/>
      <c r="H273" s="7"/>
      <c r="I273" s="5">
        <f t="shared" ref="I273:I325" si="131">SUM(J273:M273)</f>
        <v>0</v>
      </c>
      <c r="J273" s="6"/>
      <c r="K273" s="6">
        <v>0</v>
      </c>
      <c r="L273" s="6"/>
      <c r="M273" s="7"/>
      <c r="N273" s="5">
        <f t="shared" si="129"/>
        <v>0</v>
      </c>
      <c r="O273" s="6"/>
      <c r="P273" s="6"/>
      <c r="Q273" s="6"/>
      <c r="R273" s="7"/>
      <c r="S273" s="26" t="str">
        <f t="shared" si="121"/>
        <v xml:space="preserve"> </v>
      </c>
      <c r="T273" s="27" t="str">
        <f t="shared" si="122"/>
        <v xml:space="preserve"> </v>
      </c>
      <c r="U273" s="27" t="str">
        <f t="shared" si="123"/>
        <v xml:space="preserve"> </v>
      </c>
      <c r="V273" s="27" t="str">
        <f t="shared" si="124"/>
        <v xml:space="preserve"> </v>
      </c>
      <c r="W273" s="27" t="str">
        <f t="shared" si="124"/>
        <v xml:space="preserve"> </v>
      </c>
    </row>
    <row r="274" spans="1:23" s="38" customFormat="1" ht="68.25" customHeight="1" x14ac:dyDescent="0.2">
      <c r="A274" s="72"/>
      <c r="B274" s="76"/>
      <c r="C274" s="1" t="s">
        <v>261</v>
      </c>
      <c r="D274" s="5">
        <f>SUM(E274:H274)</f>
        <v>0</v>
      </c>
      <c r="E274" s="6"/>
      <c r="F274" s="6"/>
      <c r="G274" s="6"/>
      <c r="H274" s="7"/>
      <c r="I274" s="5">
        <f>SUM(J274:M274)</f>
        <v>439178.9</v>
      </c>
      <c r="J274" s="6">
        <f>SUM(J275:J292)</f>
        <v>0</v>
      </c>
      <c r="K274" s="6">
        <f>K275+K279+K285+K286+K287+K289+K290+K291</f>
        <v>423104.9</v>
      </c>
      <c r="L274" s="6">
        <f>L275+L279+L285+L286+L287+L289+L290+L291+L284+L288+L292</f>
        <v>16074</v>
      </c>
      <c r="M274" s="7">
        <f>SUM(M275:M292)</f>
        <v>0</v>
      </c>
      <c r="N274" s="5">
        <f t="shared" si="129"/>
        <v>409913.09299999994</v>
      </c>
      <c r="O274" s="6">
        <f>SUM(O275:O292)</f>
        <v>0</v>
      </c>
      <c r="P274" s="6">
        <f>P275+P279+P285+P286+P287+P289+P290+P291</f>
        <v>400110.59299999994</v>
      </c>
      <c r="Q274" s="6">
        <f>Q275+Q279+Q285+Q286+Q287+Q289+Q290+Q291+Q284+Q288+Q292</f>
        <v>9802.5</v>
      </c>
      <c r="R274" s="7">
        <f>R275+R279+R285+R286+R287+R289+R290+R291+R284+R288+R292</f>
        <v>0</v>
      </c>
      <c r="S274" s="26">
        <f t="shared" si="121"/>
        <v>0.93336244751284703</v>
      </c>
      <c r="T274" s="27" t="str">
        <f t="shared" si="122"/>
        <v xml:space="preserve"> </v>
      </c>
      <c r="U274" s="27">
        <f t="shared" si="123"/>
        <v>0.94565341360972166</v>
      </c>
      <c r="V274" s="27">
        <f t="shared" si="124"/>
        <v>0.60983575961179548</v>
      </c>
      <c r="W274" s="27" t="str">
        <f t="shared" si="124"/>
        <v xml:space="preserve"> </v>
      </c>
    </row>
    <row r="275" spans="1:23" s="38" customFormat="1" ht="68.25" customHeight="1" x14ac:dyDescent="0.2">
      <c r="A275" s="72"/>
      <c r="B275" s="76"/>
      <c r="C275" s="52" t="s">
        <v>434</v>
      </c>
      <c r="D275" s="5"/>
      <c r="E275" s="6"/>
      <c r="F275" s="6"/>
      <c r="G275" s="6"/>
      <c r="H275" s="7"/>
      <c r="I275" s="5">
        <f t="shared" ref="I275:J275" si="132">I276+I277+I278</f>
        <v>96948.599999999991</v>
      </c>
      <c r="J275" s="6">
        <f t="shared" si="132"/>
        <v>0</v>
      </c>
      <c r="K275" s="6">
        <f>K276+K277+K278</f>
        <v>88319.599999999991</v>
      </c>
      <c r="L275" s="6">
        <f t="shared" ref="L275" si="133">L276+L277+L278</f>
        <v>8629</v>
      </c>
      <c r="M275" s="7">
        <f t="shared" ref="M275" si="134">M276+M277+M278</f>
        <v>0</v>
      </c>
      <c r="N275" s="5">
        <f t="shared" si="129"/>
        <v>87687.97</v>
      </c>
      <c r="O275" s="6"/>
      <c r="P275" s="6">
        <f t="shared" ref="P275:Q275" si="135">P276+P277+P278</f>
        <v>82116.97</v>
      </c>
      <c r="Q275" s="6">
        <f t="shared" si="135"/>
        <v>5571</v>
      </c>
      <c r="R275" s="7"/>
      <c r="S275" s="26">
        <f t="shared" si="121"/>
        <v>0.90447897133120037</v>
      </c>
      <c r="T275" s="27" t="str">
        <f t="shared" si="122"/>
        <v xml:space="preserve"> </v>
      </c>
      <c r="U275" s="27">
        <f t="shared" si="123"/>
        <v>0.92977062849016534</v>
      </c>
      <c r="V275" s="27">
        <f t="shared" si="124"/>
        <v>0.64561362846216253</v>
      </c>
      <c r="W275" s="27" t="str">
        <f t="shared" si="124"/>
        <v xml:space="preserve"> </v>
      </c>
    </row>
    <row r="276" spans="1:23" ht="39.950000000000003" customHeight="1" x14ac:dyDescent="0.2">
      <c r="A276" s="74"/>
      <c r="B276" s="75"/>
      <c r="C276" s="44" t="s">
        <v>435</v>
      </c>
      <c r="D276" s="35"/>
      <c r="E276" s="36"/>
      <c r="F276" s="36"/>
      <c r="G276" s="36"/>
      <c r="H276" s="37"/>
      <c r="I276" s="35">
        <f t="shared" si="131"/>
        <v>88319.599999999991</v>
      </c>
      <c r="J276" s="36"/>
      <c r="K276" s="39">
        <v>88319.599999999991</v>
      </c>
      <c r="L276" s="39"/>
      <c r="M276" s="37"/>
      <c r="N276" s="35">
        <f t="shared" si="129"/>
        <v>82116.97</v>
      </c>
      <c r="O276" s="36"/>
      <c r="P276" s="36">
        <v>82116.97</v>
      </c>
      <c r="Q276" s="39"/>
      <c r="R276" s="37"/>
      <c r="S276" s="29">
        <f t="shared" si="121"/>
        <v>0.92977062849016534</v>
      </c>
      <c r="T276" s="30" t="str">
        <f t="shared" si="122"/>
        <v xml:space="preserve"> </v>
      </c>
      <c r="U276" s="30">
        <f t="shared" si="123"/>
        <v>0.92977062849016534</v>
      </c>
      <c r="V276" s="30" t="str">
        <f t="shared" si="124"/>
        <v xml:space="preserve"> </v>
      </c>
      <c r="W276" s="30" t="str">
        <f t="shared" si="124"/>
        <v xml:space="preserve"> </v>
      </c>
    </row>
    <row r="277" spans="1:23" ht="39.950000000000003" customHeight="1" x14ac:dyDescent="0.2">
      <c r="A277" s="74"/>
      <c r="B277" s="75"/>
      <c r="C277" s="44" t="s">
        <v>436</v>
      </c>
      <c r="D277" s="35"/>
      <c r="E277" s="36"/>
      <c r="F277" s="36"/>
      <c r="G277" s="36"/>
      <c r="H277" s="37"/>
      <c r="I277" s="35">
        <f t="shared" si="131"/>
        <v>6250</v>
      </c>
      <c r="J277" s="36"/>
      <c r="K277" s="39"/>
      <c r="L277" s="39">
        <v>6250</v>
      </c>
      <c r="M277" s="37"/>
      <c r="N277" s="35">
        <f t="shared" si="129"/>
        <v>3192</v>
      </c>
      <c r="O277" s="36"/>
      <c r="P277" s="36"/>
      <c r="Q277" s="36">
        <v>3192</v>
      </c>
      <c r="R277" s="37"/>
      <c r="S277" s="29">
        <f t="shared" si="121"/>
        <v>0.51071999999999995</v>
      </c>
      <c r="T277" s="30" t="str">
        <f t="shared" si="122"/>
        <v xml:space="preserve"> </v>
      </c>
      <c r="U277" s="30" t="str">
        <f t="shared" si="123"/>
        <v xml:space="preserve"> </v>
      </c>
      <c r="V277" s="30">
        <f t="shared" si="124"/>
        <v>0.51071999999999995</v>
      </c>
      <c r="W277" s="30" t="str">
        <f t="shared" si="124"/>
        <v xml:space="preserve"> </v>
      </c>
    </row>
    <row r="278" spans="1:23" ht="46.5" customHeight="1" x14ac:dyDescent="0.2">
      <c r="A278" s="74"/>
      <c r="B278" s="75"/>
      <c r="C278" s="44" t="s">
        <v>437</v>
      </c>
      <c r="D278" s="35"/>
      <c r="E278" s="36"/>
      <c r="F278" s="36"/>
      <c r="G278" s="36"/>
      <c r="H278" s="37"/>
      <c r="I278" s="35">
        <f t="shared" si="131"/>
        <v>2379</v>
      </c>
      <c r="J278" s="36"/>
      <c r="K278" s="39"/>
      <c r="L278" s="39">
        <v>2379</v>
      </c>
      <c r="M278" s="37"/>
      <c r="N278" s="35">
        <f t="shared" si="129"/>
        <v>2379</v>
      </c>
      <c r="O278" s="36"/>
      <c r="P278" s="36"/>
      <c r="Q278" s="36">
        <f>1980+399</f>
        <v>2379</v>
      </c>
      <c r="R278" s="37"/>
      <c r="S278" s="29">
        <f t="shared" si="121"/>
        <v>1</v>
      </c>
      <c r="T278" s="30" t="str">
        <f t="shared" si="122"/>
        <v xml:space="preserve"> </v>
      </c>
      <c r="U278" s="30" t="str">
        <f t="shared" si="123"/>
        <v xml:space="preserve"> </v>
      </c>
      <c r="V278" s="30">
        <f t="shared" si="124"/>
        <v>1</v>
      </c>
      <c r="W278" s="30" t="str">
        <f t="shared" si="124"/>
        <v xml:space="preserve"> </v>
      </c>
    </row>
    <row r="279" spans="1:23" s="38" customFormat="1" ht="42.75" customHeight="1" x14ac:dyDescent="0.2">
      <c r="A279" s="72"/>
      <c r="B279" s="76"/>
      <c r="C279" s="52" t="s">
        <v>438</v>
      </c>
      <c r="D279" s="5"/>
      <c r="E279" s="6"/>
      <c r="F279" s="6"/>
      <c r="G279" s="6"/>
      <c r="H279" s="7"/>
      <c r="I279" s="5">
        <f>SUM(J279:M279)</f>
        <v>242224.90000000002</v>
      </c>
      <c r="J279" s="6"/>
      <c r="K279" s="6">
        <f>SUM(K280:K283)</f>
        <v>240792.40000000002</v>
      </c>
      <c r="L279" s="6">
        <f>SUM(L280:L283)</f>
        <v>1432.5</v>
      </c>
      <c r="M279" s="7"/>
      <c r="N279" s="5">
        <f t="shared" si="129"/>
        <v>229753.68900000001</v>
      </c>
      <c r="O279" s="6"/>
      <c r="P279" s="6">
        <f>SUM(P280:P283)</f>
        <v>228750.93900000001</v>
      </c>
      <c r="Q279" s="6">
        <f>SUM(Q280:Q283)</f>
        <v>1002.75</v>
      </c>
      <c r="R279" s="7"/>
      <c r="S279" s="26">
        <f t="shared" si="121"/>
        <v>0.94851391826356413</v>
      </c>
      <c r="T279" s="27" t="str">
        <f t="shared" si="122"/>
        <v xml:space="preserve"> </v>
      </c>
      <c r="U279" s="27">
        <f t="shared" si="123"/>
        <v>0.94999235440985674</v>
      </c>
      <c r="V279" s="27">
        <f t="shared" si="124"/>
        <v>0.7</v>
      </c>
      <c r="W279" s="27" t="str">
        <f t="shared" si="124"/>
        <v xml:space="preserve"> </v>
      </c>
    </row>
    <row r="280" spans="1:23" ht="39.950000000000003" customHeight="1" x14ac:dyDescent="0.2">
      <c r="A280" s="74"/>
      <c r="B280" s="75"/>
      <c r="C280" s="45" t="s">
        <v>439</v>
      </c>
      <c r="D280" s="35"/>
      <c r="E280" s="36"/>
      <c r="F280" s="36"/>
      <c r="G280" s="36"/>
      <c r="H280" s="37"/>
      <c r="I280" s="35">
        <f t="shared" si="131"/>
        <v>117532.8</v>
      </c>
      <c r="J280" s="36"/>
      <c r="K280" s="39">
        <v>117532.8</v>
      </c>
      <c r="L280" s="39"/>
      <c r="M280" s="37"/>
      <c r="N280" s="35">
        <f t="shared" si="129"/>
        <v>111454.552</v>
      </c>
      <c r="O280" s="36"/>
      <c r="P280" s="36">
        <v>111454.552</v>
      </c>
      <c r="Q280" s="39"/>
      <c r="R280" s="37"/>
      <c r="S280" s="29">
        <f t="shared" ref="S280:S343" si="136">IF(I280=0," ",N280/I280)</f>
        <v>0.94828466606768491</v>
      </c>
      <c r="T280" s="30" t="str">
        <f t="shared" ref="T280:T343" si="137">IF(J280=0," ",O280/J280)</f>
        <v xml:space="preserve"> </v>
      </c>
      <c r="U280" s="30">
        <f t="shared" ref="U280:U343" si="138">IF(K280=0," ",P280/K280)</f>
        <v>0.94828466606768491</v>
      </c>
      <c r="V280" s="30" t="str">
        <f t="shared" ref="V280:W343" si="139">IF(L280=0," ",Q280/L280)</f>
        <v xml:space="preserve"> </v>
      </c>
      <c r="W280" s="30" t="str">
        <f t="shared" si="139"/>
        <v xml:space="preserve"> </v>
      </c>
    </row>
    <row r="281" spans="1:23" s="8" customFormat="1" ht="39.950000000000003" customHeight="1" x14ac:dyDescent="0.2">
      <c r="A281" s="74"/>
      <c r="B281" s="75"/>
      <c r="C281" s="44" t="s">
        <v>440</v>
      </c>
      <c r="D281" s="35"/>
      <c r="E281" s="36"/>
      <c r="F281" s="36"/>
      <c r="G281" s="36"/>
      <c r="H281" s="37"/>
      <c r="I281" s="35">
        <f t="shared" si="131"/>
        <v>123259.1</v>
      </c>
      <c r="J281" s="36"/>
      <c r="K281" s="39">
        <v>123259.1</v>
      </c>
      <c r="L281" s="36"/>
      <c r="M281" s="37"/>
      <c r="N281" s="35">
        <f t="shared" si="129"/>
        <v>117296.387</v>
      </c>
      <c r="O281" s="36"/>
      <c r="P281" s="36">
        <v>117296.387</v>
      </c>
      <c r="Q281" s="36"/>
      <c r="R281" s="37"/>
      <c r="S281" s="29">
        <f t="shared" si="136"/>
        <v>0.95162456159423525</v>
      </c>
      <c r="T281" s="30" t="str">
        <f t="shared" si="137"/>
        <v xml:space="preserve"> </v>
      </c>
      <c r="U281" s="30">
        <f t="shared" si="138"/>
        <v>0.95162456159423525</v>
      </c>
      <c r="V281" s="30" t="str">
        <f t="shared" si="139"/>
        <v xml:space="preserve"> </v>
      </c>
      <c r="W281" s="30" t="str">
        <f t="shared" si="139"/>
        <v xml:space="preserve"> </v>
      </c>
    </row>
    <row r="282" spans="1:23" s="8" customFormat="1" ht="39.950000000000003" customHeight="1" x14ac:dyDescent="0.2">
      <c r="A282" s="74"/>
      <c r="B282" s="75"/>
      <c r="C282" s="44" t="s">
        <v>441</v>
      </c>
      <c r="D282" s="35"/>
      <c r="E282" s="36"/>
      <c r="F282" s="36"/>
      <c r="G282" s="36"/>
      <c r="H282" s="37"/>
      <c r="I282" s="35">
        <f>SUM(J282:M282)</f>
        <v>0.5</v>
      </c>
      <c r="J282" s="36"/>
      <c r="K282" s="39">
        <v>0.5</v>
      </c>
      <c r="L282" s="39"/>
      <c r="M282" s="37"/>
      <c r="N282" s="35">
        <f t="shared" ref="N282:N350" si="140">SUM(O282:R282)</f>
        <v>0</v>
      </c>
      <c r="O282" s="36"/>
      <c r="P282" s="36"/>
      <c r="Q282" s="39"/>
      <c r="R282" s="37"/>
      <c r="S282" s="29">
        <f t="shared" si="136"/>
        <v>0</v>
      </c>
      <c r="T282" s="30" t="str">
        <f t="shared" si="137"/>
        <v xml:space="preserve"> </v>
      </c>
      <c r="U282" s="30">
        <f t="shared" si="138"/>
        <v>0</v>
      </c>
      <c r="V282" s="30" t="str">
        <f t="shared" si="139"/>
        <v xml:space="preserve"> </v>
      </c>
      <c r="W282" s="30" t="str">
        <f t="shared" si="139"/>
        <v xml:space="preserve"> </v>
      </c>
    </row>
    <row r="283" spans="1:23" ht="67.5" customHeight="1" x14ac:dyDescent="0.2">
      <c r="A283" s="74"/>
      <c r="B283" s="75"/>
      <c r="C283" s="44" t="s">
        <v>442</v>
      </c>
      <c r="D283" s="35"/>
      <c r="E283" s="36"/>
      <c r="F283" s="36"/>
      <c r="G283" s="36"/>
      <c r="H283" s="37"/>
      <c r="I283" s="35">
        <f t="shared" ref="I283:I284" si="141">SUM(J283:M283)</f>
        <v>1432.5</v>
      </c>
      <c r="J283" s="36"/>
      <c r="K283" s="39"/>
      <c r="L283" s="39">
        <v>1432.5</v>
      </c>
      <c r="M283" s="37"/>
      <c r="N283" s="35">
        <f t="shared" si="140"/>
        <v>1002.75</v>
      </c>
      <c r="O283" s="36"/>
      <c r="P283" s="36"/>
      <c r="Q283" s="36">
        <v>1002.75</v>
      </c>
      <c r="R283" s="37"/>
      <c r="S283" s="29">
        <f t="shared" si="136"/>
        <v>0.7</v>
      </c>
      <c r="T283" s="30" t="str">
        <f t="shared" si="137"/>
        <v xml:space="preserve"> </v>
      </c>
      <c r="U283" s="30" t="str">
        <f t="shared" si="138"/>
        <v xml:space="preserve"> </v>
      </c>
      <c r="V283" s="30">
        <f t="shared" si="139"/>
        <v>0.7</v>
      </c>
      <c r="W283" s="30" t="str">
        <f t="shared" si="139"/>
        <v xml:space="preserve"> </v>
      </c>
    </row>
    <row r="284" spans="1:23" ht="102" customHeight="1" x14ac:dyDescent="0.2">
      <c r="A284" s="74"/>
      <c r="B284" s="75"/>
      <c r="C284" s="4" t="s">
        <v>443</v>
      </c>
      <c r="D284" s="35"/>
      <c r="E284" s="36"/>
      <c r="F284" s="36"/>
      <c r="G284" s="36"/>
      <c r="H284" s="37"/>
      <c r="I284" s="35">
        <f t="shared" si="141"/>
        <v>1432.5</v>
      </c>
      <c r="J284" s="36"/>
      <c r="K284" s="36"/>
      <c r="L284" s="39">
        <v>1432.5</v>
      </c>
      <c r="M284" s="37"/>
      <c r="N284" s="35">
        <f t="shared" si="140"/>
        <v>1002.75</v>
      </c>
      <c r="O284" s="36"/>
      <c r="P284" s="36"/>
      <c r="Q284" s="36">
        <v>1002.75</v>
      </c>
      <c r="R284" s="37"/>
      <c r="S284" s="29">
        <f t="shared" si="136"/>
        <v>0.7</v>
      </c>
      <c r="T284" s="30" t="str">
        <f t="shared" si="137"/>
        <v xml:space="preserve"> </v>
      </c>
      <c r="U284" s="30" t="str">
        <f t="shared" si="138"/>
        <v xml:space="preserve"> </v>
      </c>
      <c r="V284" s="30">
        <f t="shared" si="139"/>
        <v>0.7</v>
      </c>
      <c r="W284" s="30" t="str">
        <f t="shared" si="139"/>
        <v xml:space="preserve"> </v>
      </c>
    </row>
    <row r="285" spans="1:23" ht="85.5" customHeight="1" x14ac:dyDescent="0.2">
      <c r="A285" s="74"/>
      <c r="B285" s="75"/>
      <c r="C285" s="44" t="s">
        <v>444</v>
      </c>
      <c r="D285" s="35"/>
      <c r="E285" s="36"/>
      <c r="F285" s="36"/>
      <c r="G285" s="36"/>
      <c r="H285" s="37"/>
      <c r="I285" s="35">
        <f t="shared" si="131"/>
        <v>0.20000000000436599</v>
      </c>
      <c r="J285" s="36"/>
      <c r="K285" s="39">
        <v>0.20000000000436599</v>
      </c>
      <c r="L285" s="39"/>
      <c r="M285" s="37"/>
      <c r="N285" s="35">
        <f t="shared" si="140"/>
        <v>0</v>
      </c>
      <c r="O285" s="36"/>
      <c r="P285" s="36"/>
      <c r="Q285" s="39"/>
      <c r="R285" s="37"/>
      <c r="S285" s="29">
        <f t="shared" si="136"/>
        <v>0</v>
      </c>
      <c r="T285" s="30" t="str">
        <f t="shared" si="137"/>
        <v xml:space="preserve"> </v>
      </c>
      <c r="U285" s="30">
        <f t="shared" si="138"/>
        <v>0</v>
      </c>
      <c r="V285" s="30" t="str">
        <f t="shared" si="139"/>
        <v xml:space="preserve"> </v>
      </c>
      <c r="W285" s="30" t="str">
        <f t="shared" si="139"/>
        <v xml:space="preserve"> </v>
      </c>
    </row>
    <row r="286" spans="1:23" ht="129" customHeight="1" x14ac:dyDescent="0.2">
      <c r="A286" s="74"/>
      <c r="B286" s="75"/>
      <c r="C286" s="44" t="s">
        <v>445</v>
      </c>
      <c r="D286" s="35"/>
      <c r="E286" s="36"/>
      <c r="F286" s="36"/>
      <c r="G286" s="36"/>
      <c r="H286" s="37"/>
      <c r="I286" s="35">
        <f>SUM(J286:M286)</f>
        <v>0.19999999999709001</v>
      </c>
      <c r="J286" s="36"/>
      <c r="K286" s="39">
        <v>0.19999999999709001</v>
      </c>
      <c r="L286" s="36"/>
      <c r="M286" s="37"/>
      <c r="N286" s="35">
        <f t="shared" si="140"/>
        <v>0</v>
      </c>
      <c r="O286" s="36"/>
      <c r="P286" s="36"/>
      <c r="Q286" s="36"/>
      <c r="R286" s="37"/>
      <c r="S286" s="29">
        <f t="shared" si="136"/>
        <v>0</v>
      </c>
      <c r="T286" s="30" t="str">
        <f t="shared" si="137"/>
        <v xml:space="preserve"> </v>
      </c>
      <c r="U286" s="30">
        <f t="shared" si="138"/>
        <v>0</v>
      </c>
      <c r="V286" s="30" t="str">
        <f t="shared" si="139"/>
        <v xml:space="preserve"> </v>
      </c>
      <c r="W286" s="30" t="str">
        <f t="shared" si="139"/>
        <v xml:space="preserve"> </v>
      </c>
    </row>
    <row r="287" spans="1:23" ht="60.75" customHeight="1" x14ac:dyDescent="0.2">
      <c r="A287" s="74"/>
      <c r="B287" s="75"/>
      <c r="C287" s="44" t="s">
        <v>446</v>
      </c>
      <c r="D287" s="35"/>
      <c r="E287" s="36"/>
      <c r="F287" s="36"/>
      <c r="G287" s="36"/>
      <c r="H287" s="37"/>
      <c r="I287" s="35">
        <f t="shared" si="131"/>
        <v>20067.599999999999</v>
      </c>
      <c r="J287" s="36"/>
      <c r="K287" s="39">
        <v>20067.599999999999</v>
      </c>
      <c r="L287" s="36"/>
      <c r="M287" s="37"/>
      <c r="N287" s="35">
        <f t="shared" si="140"/>
        <v>18602.144</v>
      </c>
      <c r="O287" s="36"/>
      <c r="P287" s="36">
        <v>18602.144</v>
      </c>
      <c r="Q287" s="36"/>
      <c r="R287" s="37"/>
      <c r="S287" s="29">
        <f t="shared" si="136"/>
        <v>0.92697402778608307</v>
      </c>
      <c r="T287" s="30" t="str">
        <f t="shared" si="137"/>
        <v xml:space="preserve"> </v>
      </c>
      <c r="U287" s="30">
        <f t="shared" si="138"/>
        <v>0.92697402778608307</v>
      </c>
      <c r="V287" s="30" t="str">
        <f t="shared" si="139"/>
        <v xml:space="preserve"> </v>
      </c>
      <c r="W287" s="30" t="str">
        <f t="shared" si="139"/>
        <v xml:space="preserve"> </v>
      </c>
    </row>
    <row r="288" spans="1:23" ht="85.5" customHeight="1" x14ac:dyDescent="0.2">
      <c r="A288" s="74"/>
      <c r="B288" s="75"/>
      <c r="C288" s="4" t="s">
        <v>447</v>
      </c>
      <c r="D288" s="35"/>
      <c r="E288" s="36"/>
      <c r="F288" s="36"/>
      <c r="G288" s="36"/>
      <c r="H288" s="37"/>
      <c r="I288" s="35">
        <f t="shared" si="131"/>
        <v>3180</v>
      </c>
      <c r="J288" s="36"/>
      <c r="K288" s="39"/>
      <c r="L288" s="39">
        <v>3180</v>
      </c>
      <c r="M288" s="37"/>
      <c r="N288" s="35">
        <f t="shared" si="140"/>
        <v>2226</v>
      </c>
      <c r="O288" s="36"/>
      <c r="P288" s="36"/>
      <c r="Q288" s="36">
        <v>2226</v>
      </c>
      <c r="R288" s="37"/>
      <c r="S288" s="29">
        <f t="shared" si="136"/>
        <v>0.7</v>
      </c>
      <c r="T288" s="30" t="str">
        <f t="shared" si="137"/>
        <v xml:space="preserve"> </v>
      </c>
      <c r="U288" s="30" t="str">
        <f t="shared" si="138"/>
        <v xml:space="preserve"> </v>
      </c>
      <c r="V288" s="30">
        <f t="shared" si="139"/>
        <v>0.7</v>
      </c>
      <c r="W288" s="30" t="str">
        <f t="shared" si="139"/>
        <v xml:space="preserve"> </v>
      </c>
    </row>
    <row r="289" spans="1:23" ht="101.25" customHeight="1" x14ac:dyDescent="0.2">
      <c r="A289" s="74"/>
      <c r="B289" s="75"/>
      <c r="C289" s="44" t="s">
        <v>448</v>
      </c>
      <c r="D289" s="35"/>
      <c r="E289" s="36"/>
      <c r="F289" s="36"/>
      <c r="G289" s="36"/>
      <c r="H289" s="37"/>
      <c r="I289" s="35">
        <f t="shared" si="131"/>
        <v>56142.2</v>
      </c>
      <c r="J289" s="36"/>
      <c r="K289" s="39">
        <v>56142.2</v>
      </c>
      <c r="L289" s="39"/>
      <c r="M289" s="37"/>
      <c r="N289" s="35">
        <f t="shared" si="140"/>
        <v>55155.277999999998</v>
      </c>
      <c r="O289" s="36"/>
      <c r="P289" s="36">
        <v>55155.277999999998</v>
      </c>
      <c r="Q289" s="39"/>
      <c r="R289" s="37"/>
      <c r="S289" s="29">
        <f t="shared" si="136"/>
        <v>0.98242103088229538</v>
      </c>
      <c r="T289" s="30" t="str">
        <f t="shared" si="137"/>
        <v xml:space="preserve"> </v>
      </c>
      <c r="U289" s="30">
        <f t="shared" si="138"/>
        <v>0.98242103088229538</v>
      </c>
      <c r="V289" s="30" t="str">
        <f t="shared" si="139"/>
        <v xml:space="preserve"> </v>
      </c>
      <c r="W289" s="30" t="str">
        <f t="shared" si="139"/>
        <v xml:space="preserve"> </v>
      </c>
    </row>
    <row r="290" spans="1:23" ht="98.25" customHeight="1" x14ac:dyDescent="0.2">
      <c r="A290" s="74"/>
      <c r="B290" s="75"/>
      <c r="C290" s="44" t="s">
        <v>449</v>
      </c>
      <c r="D290" s="35"/>
      <c r="E290" s="36"/>
      <c r="F290" s="36"/>
      <c r="G290" s="36"/>
      <c r="H290" s="37"/>
      <c r="I290" s="35">
        <f t="shared" si="131"/>
        <v>0.10000000000582077</v>
      </c>
      <c r="J290" s="36"/>
      <c r="K290" s="39">
        <v>0.10000000000582077</v>
      </c>
      <c r="L290" s="39"/>
      <c r="M290" s="37"/>
      <c r="N290" s="35">
        <f t="shared" si="140"/>
        <v>0</v>
      </c>
      <c r="O290" s="36"/>
      <c r="P290" s="36"/>
      <c r="Q290" s="39"/>
      <c r="R290" s="37"/>
      <c r="S290" s="29">
        <f t="shared" si="136"/>
        <v>0</v>
      </c>
      <c r="T290" s="30" t="str">
        <f t="shared" si="137"/>
        <v xml:space="preserve"> </v>
      </c>
      <c r="U290" s="30">
        <f t="shared" si="138"/>
        <v>0</v>
      </c>
      <c r="V290" s="30" t="str">
        <f t="shared" si="139"/>
        <v xml:space="preserve"> </v>
      </c>
      <c r="W290" s="30" t="str">
        <f t="shared" si="139"/>
        <v xml:space="preserve"> </v>
      </c>
    </row>
    <row r="291" spans="1:23" s="8" customFormat="1" ht="100.5" customHeight="1" x14ac:dyDescent="0.2">
      <c r="A291" s="74"/>
      <c r="B291" s="75"/>
      <c r="C291" s="44" t="s">
        <v>450</v>
      </c>
      <c r="D291" s="35"/>
      <c r="E291" s="36"/>
      <c r="F291" s="36"/>
      <c r="G291" s="36"/>
      <c r="H291" s="37"/>
      <c r="I291" s="35">
        <f t="shared" si="131"/>
        <v>17782.599999999999</v>
      </c>
      <c r="J291" s="36"/>
      <c r="K291" s="39">
        <v>17782.599999999999</v>
      </c>
      <c r="L291" s="39"/>
      <c r="M291" s="37"/>
      <c r="N291" s="35">
        <f t="shared" si="140"/>
        <v>15485.262000000001</v>
      </c>
      <c r="O291" s="36"/>
      <c r="P291" s="36">
        <v>15485.262000000001</v>
      </c>
      <c r="Q291" s="39"/>
      <c r="R291" s="37"/>
      <c r="S291" s="29">
        <f t="shared" si="136"/>
        <v>0.87080978034708101</v>
      </c>
      <c r="T291" s="30" t="str">
        <f t="shared" si="137"/>
        <v xml:space="preserve"> </v>
      </c>
      <c r="U291" s="30">
        <f t="shared" si="138"/>
        <v>0.87080978034708101</v>
      </c>
      <c r="V291" s="30" t="str">
        <f t="shared" si="139"/>
        <v xml:space="preserve"> </v>
      </c>
      <c r="W291" s="30" t="str">
        <f t="shared" si="139"/>
        <v xml:space="preserve"> </v>
      </c>
    </row>
    <row r="292" spans="1:23" s="8" customFormat="1" ht="42.75" customHeight="1" x14ac:dyDescent="0.2">
      <c r="A292" s="74"/>
      <c r="B292" s="75"/>
      <c r="C292" s="44" t="s">
        <v>451</v>
      </c>
      <c r="D292" s="35"/>
      <c r="E292" s="36"/>
      <c r="F292" s="36"/>
      <c r="G292" s="36"/>
      <c r="H292" s="37"/>
      <c r="I292" s="35">
        <f t="shared" si="131"/>
        <v>1400</v>
      </c>
      <c r="J292" s="36"/>
      <c r="K292" s="36"/>
      <c r="L292" s="39">
        <v>1400</v>
      </c>
      <c r="M292" s="37"/>
      <c r="N292" s="35">
        <f t="shared" si="140"/>
        <v>0</v>
      </c>
      <c r="O292" s="36"/>
      <c r="P292" s="36"/>
      <c r="Q292" s="39">
        <v>0</v>
      </c>
      <c r="R292" s="37"/>
      <c r="S292" s="29">
        <f t="shared" si="136"/>
        <v>0</v>
      </c>
      <c r="T292" s="30" t="str">
        <f t="shared" si="137"/>
        <v xml:space="preserve"> </v>
      </c>
      <c r="U292" s="30" t="str">
        <f t="shared" si="138"/>
        <v xml:space="preserve"> </v>
      </c>
      <c r="V292" s="30">
        <f t="shared" si="139"/>
        <v>0</v>
      </c>
      <c r="W292" s="30" t="str">
        <f t="shared" si="139"/>
        <v xml:space="preserve"> </v>
      </c>
    </row>
    <row r="293" spans="1:23" s="38" customFormat="1" ht="49.5" x14ac:dyDescent="0.2">
      <c r="A293" s="72">
        <v>1049</v>
      </c>
      <c r="B293" s="76">
        <v>31001</v>
      </c>
      <c r="C293" s="1" t="s">
        <v>452</v>
      </c>
      <c r="D293" s="5">
        <f>SUM(E293:H293)</f>
        <v>0</v>
      </c>
      <c r="E293" s="6"/>
      <c r="F293" s="36"/>
      <c r="G293" s="6"/>
      <c r="H293" s="7"/>
      <c r="I293" s="5">
        <f t="shared" si="131"/>
        <v>87517.1</v>
      </c>
      <c r="J293" s="6">
        <v>84917.1</v>
      </c>
      <c r="K293" s="6"/>
      <c r="L293" s="6">
        <v>2600</v>
      </c>
      <c r="M293" s="7"/>
      <c r="N293" s="5">
        <f t="shared" si="140"/>
        <v>87492.373000000007</v>
      </c>
      <c r="O293" s="6">
        <v>84892.373000000007</v>
      </c>
      <c r="P293" s="6"/>
      <c r="Q293" s="6">
        <v>2600</v>
      </c>
      <c r="R293" s="7"/>
      <c r="S293" s="26">
        <f t="shared" si="136"/>
        <v>0.99971746093049241</v>
      </c>
      <c r="T293" s="27">
        <f t="shared" si="137"/>
        <v>0.99970881012187185</v>
      </c>
      <c r="U293" s="27" t="str">
        <f t="shared" si="138"/>
        <v xml:space="preserve"> </v>
      </c>
      <c r="V293" s="27">
        <f t="shared" si="139"/>
        <v>1</v>
      </c>
      <c r="W293" s="27" t="str">
        <f t="shared" si="139"/>
        <v xml:space="preserve"> </v>
      </c>
    </row>
    <row r="294" spans="1:23" s="38" customFormat="1" ht="106.5" customHeight="1" x14ac:dyDescent="0.2">
      <c r="A294" s="72">
        <v>1072</v>
      </c>
      <c r="B294" s="76">
        <v>31008</v>
      </c>
      <c r="C294" s="1" t="s">
        <v>125</v>
      </c>
      <c r="D294" s="5">
        <f>SUM(E294:H294)</f>
        <v>182573.7</v>
      </c>
      <c r="E294" s="6">
        <f>+E295+E296</f>
        <v>182573.7</v>
      </c>
      <c r="F294" s="6">
        <f t="shared" ref="F294:H294" si="142">+F295+F296</f>
        <v>0</v>
      </c>
      <c r="G294" s="6">
        <f t="shared" si="142"/>
        <v>0</v>
      </c>
      <c r="H294" s="7">
        <f t="shared" si="142"/>
        <v>0</v>
      </c>
      <c r="I294" s="5">
        <f t="shared" ref="I294:I296" si="143">SUM(J294:M294)</f>
        <v>0</v>
      </c>
      <c r="J294" s="6">
        <f>+J295+J296</f>
        <v>0</v>
      </c>
      <c r="K294" s="6">
        <f t="shared" ref="K294:M294" si="144">+K295+K296</f>
        <v>0</v>
      </c>
      <c r="L294" s="6">
        <f t="shared" si="144"/>
        <v>0</v>
      </c>
      <c r="M294" s="7">
        <f t="shared" si="144"/>
        <v>0</v>
      </c>
      <c r="N294" s="5">
        <f t="shared" si="140"/>
        <v>0</v>
      </c>
      <c r="O294" s="6">
        <f>+O295+O296</f>
        <v>0</v>
      </c>
      <c r="P294" s="6">
        <f t="shared" ref="P294:R294" si="145">+P295+P296</f>
        <v>0</v>
      </c>
      <c r="Q294" s="6">
        <f t="shared" si="145"/>
        <v>0</v>
      </c>
      <c r="R294" s="7">
        <f t="shared" si="145"/>
        <v>0</v>
      </c>
      <c r="S294" s="26" t="str">
        <f t="shared" si="136"/>
        <v xml:space="preserve"> </v>
      </c>
      <c r="T294" s="27" t="str">
        <f t="shared" si="137"/>
        <v xml:space="preserve"> </v>
      </c>
      <c r="U294" s="27" t="str">
        <f t="shared" si="138"/>
        <v xml:space="preserve"> </v>
      </c>
      <c r="V294" s="27" t="str">
        <f t="shared" si="139"/>
        <v xml:space="preserve"> </v>
      </c>
      <c r="W294" s="27" t="str">
        <f t="shared" si="139"/>
        <v xml:space="preserve"> </v>
      </c>
    </row>
    <row r="295" spans="1:23" ht="76.5" customHeight="1" x14ac:dyDescent="0.2">
      <c r="A295" s="74"/>
      <c r="B295" s="75"/>
      <c r="C295" s="4" t="s">
        <v>160</v>
      </c>
      <c r="D295" s="35">
        <f t="shared" ref="D295" si="146">SUM(E295:H295)</f>
        <v>81603.899999999994</v>
      </c>
      <c r="E295" s="36">
        <v>81603.899999999994</v>
      </c>
      <c r="F295" s="36"/>
      <c r="G295" s="36"/>
      <c r="H295" s="37"/>
      <c r="I295" s="35">
        <f t="shared" si="143"/>
        <v>0</v>
      </c>
      <c r="J295" s="36">
        <f>+E295-81603.9</f>
        <v>0</v>
      </c>
      <c r="K295" s="36"/>
      <c r="L295" s="36"/>
      <c r="M295" s="37"/>
      <c r="N295" s="35">
        <f t="shared" si="140"/>
        <v>0</v>
      </c>
      <c r="O295" s="36">
        <v>0</v>
      </c>
      <c r="P295" s="36"/>
      <c r="Q295" s="36"/>
      <c r="R295" s="37"/>
      <c r="S295" s="29" t="str">
        <f t="shared" si="136"/>
        <v xml:space="preserve"> </v>
      </c>
      <c r="T295" s="30" t="str">
        <f t="shared" si="137"/>
        <v xml:space="preserve"> </v>
      </c>
      <c r="U295" s="30" t="str">
        <f t="shared" si="138"/>
        <v xml:space="preserve"> </v>
      </c>
      <c r="V295" s="30" t="str">
        <f t="shared" si="139"/>
        <v xml:space="preserve"> </v>
      </c>
      <c r="W295" s="30" t="str">
        <f t="shared" si="139"/>
        <v xml:space="preserve"> </v>
      </c>
    </row>
    <row r="296" spans="1:23" ht="81.75" customHeight="1" x14ac:dyDescent="0.2">
      <c r="A296" s="74"/>
      <c r="B296" s="75"/>
      <c r="C296" s="4" t="s">
        <v>161</v>
      </c>
      <c r="D296" s="35">
        <f>SUM(E296:H296)</f>
        <v>100969.8</v>
      </c>
      <c r="E296" s="36">
        <v>100969.8</v>
      </c>
      <c r="F296" s="36"/>
      <c r="G296" s="36"/>
      <c r="H296" s="37"/>
      <c r="I296" s="35">
        <f t="shared" si="143"/>
        <v>0</v>
      </c>
      <c r="J296" s="36">
        <f>+E296-100969.8</f>
        <v>0</v>
      </c>
      <c r="K296" s="36"/>
      <c r="L296" s="36"/>
      <c r="M296" s="37"/>
      <c r="N296" s="35">
        <f t="shared" si="140"/>
        <v>0</v>
      </c>
      <c r="O296" s="36">
        <v>0</v>
      </c>
      <c r="P296" s="36"/>
      <c r="Q296" s="36"/>
      <c r="R296" s="37"/>
      <c r="S296" s="29" t="str">
        <f t="shared" si="136"/>
        <v xml:space="preserve"> </v>
      </c>
      <c r="T296" s="30" t="str">
        <f t="shared" si="137"/>
        <v xml:space="preserve"> </v>
      </c>
      <c r="U296" s="30" t="str">
        <f t="shared" si="138"/>
        <v xml:space="preserve"> </v>
      </c>
      <c r="V296" s="30" t="str">
        <f t="shared" si="139"/>
        <v xml:space="preserve"> </v>
      </c>
      <c r="W296" s="30" t="str">
        <f t="shared" si="139"/>
        <v xml:space="preserve"> </v>
      </c>
    </row>
    <row r="297" spans="1:23" s="38" customFormat="1" ht="90.75" customHeight="1" x14ac:dyDescent="0.2">
      <c r="A297" s="72">
        <v>1072</v>
      </c>
      <c r="B297" s="76">
        <v>31009</v>
      </c>
      <c r="C297" s="1" t="s">
        <v>126</v>
      </c>
      <c r="D297" s="5">
        <f>+E297+F297+G297+H297</f>
        <v>195000</v>
      </c>
      <c r="E297" s="6">
        <v>182400</v>
      </c>
      <c r="F297" s="6"/>
      <c r="G297" s="6">
        <v>12600</v>
      </c>
      <c r="H297" s="7"/>
      <c r="I297" s="5">
        <f t="shared" si="131"/>
        <v>10533.4</v>
      </c>
      <c r="J297" s="6">
        <f>+E297-76909.7-105490.3</f>
        <v>0</v>
      </c>
      <c r="K297" s="6"/>
      <c r="L297" s="6">
        <f>+G297-2066.6</f>
        <v>10533.4</v>
      </c>
      <c r="M297" s="7"/>
      <c r="N297" s="5">
        <f t="shared" si="140"/>
        <v>0</v>
      </c>
      <c r="O297" s="6">
        <v>0</v>
      </c>
      <c r="P297" s="6">
        <v>0</v>
      </c>
      <c r="Q297" s="6">
        <v>0</v>
      </c>
      <c r="R297" s="7">
        <v>0</v>
      </c>
      <c r="S297" s="26">
        <f t="shared" si="136"/>
        <v>0</v>
      </c>
      <c r="T297" s="27" t="str">
        <f t="shared" si="137"/>
        <v xml:space="preserve"> </v>
      </c>
      <c r="U297" s="27" t="str">
        <f t="shared" si="138"/>
        <v xml:space="preserve"> </v>
      </c>
      <c r="V297" s="27">
        <f t="shared" si="139"/>
        <v>0</v>
      </c>
      <c r="W297" s="27" t="str">
        <f t="shared" si="139"/>
        <v xml:space="preserve"> </v>
      </c>
    </row>
    <row r="298" spans="1:23" s="8" customFormat="1" ht="49.5" x14ac:dyDescent="0.2">
      <c r="A298" s="72">
        <v>1072</v>
      </c>
      <c r="B298" s="76">
        <v>31010</v>
      </c>
      <c r="C298" s="1" t="s">
        <v>453</v>
      </c>
      <c r="D298" s="5">
        <f>SUM(E298:H298)</f>
        <v>0</v>
      </c>
      <c r="E298" s="6">
        <f>SUM(E299:E325)</f>
        <v>0</v>
      </c>
      <c r="F298" s="6">
        <f>SUM(F299:F325)</f>
        <v>0</v>
      </c>
      <c r="G298" s="6">
        <f>SUM(G299:G325)</f>
        <v>0</v>
      </c>
      <c r="H298" s="7">
        <f>SUM(H299:H325)</f>
        <v>0</v>
      </c>
      <c r="I298" s="5">
        <f>SUM(J298:M298)</f>
        <v>1657601.5</v>
      </c>
      <c r="J298" s="6">
        <f>SUM(J299:J325)</f>
        <v>0</v>
      </c>
      <c r="K298" s="6">
        <f>SUM(K299:K325)</f>
        <v>1652321.5</v>
      </c>
      <c r="L298" s="6">
        <f t="shared" ref="L298:M298" si="147">SUM(L299:L325)</f>
        <v>5280</v>
      </c>
      <c r="M298" s="7">
        <f t="shared" si="147"/>
        <v>0</v>
      </c>
      <c r="N298" s="5">
        <f t="shared" si="140"/>
        <v>1653205.6800000006</v>
      </c>
      <c r="O298" s="6">
        <f>SUM(O299:O325)</f>
        <v>0</v>
      </c>
      <c r="P298" s="6">
        <f>SUM(P299:P325)</f>
        <v>1647925.6800000006</v>
      </c>
      <c r="Q298" s="6">
        <f>SUM(Q299:Q325)</f>
        <v>5280</v>
      </c>
      <c r="R298" s="7">
        <f>SUM(R299:R325)</f>
        <v>0</v>
      </c>
      <c r="S298" s="26">
        <f t="shared" si="136"/>
        <v>0.99734808396348618</v>
      </c>
      <c r="T298" s="27" t="str">
        <f t="shared" si="137"/>
        <v xml:space="preserve"> </v>
      </c>
      <c r="U298" s="27">
        <f t="shared" si="138"/>
        <v>0.9973396097551237</v>
      </c>
      <c r="V298" s="27">
        <f t="shared" si="139"/>
        <v>1</v>
      </c>
      <c r="W298" s="27" t="str">
        <f t="shared" si="139"/>
        <v xml:space="preserve"> </v>
      </c>
    </row>
    <row r="299" spans="1:23" s="8" customFormat="1" ht="60" customHeight="1" x14ac:dyDescent="0.2">
      <c r="A299" s="74"/>
      <c r="B299" s="75"/>
      <c r="C299" s="4" t="s">
        <v>454</v>
      </c>
      <c r="D299" s="35">
        <f t="shared" ref="D299:D330" si="148">SUM(E299:H299)</f>
        <v>0</v>
      </c>
      <c r="E299" s="36"/>
      <c r="F299" s="36"/>
      <c r="G299" s="36"/>
      <c r="H299" s="37"/>
      <c r="I299" s="35">
        <f t="shared" si="131"/>
        <v>36567.100000000006</v>
      </c>
      <c r="J299" s="36"/>
      <c r="K299" s="39">
        <v>36567.100000000006</v>
      </c>
      <c r="L299" s="36"/>
      <c r="M299" s="37"/>
      <c r="N299" s="35">
        <f t="shared" si="140"/>
        <v>36566.982000000004</v>
      </c>
      <c r="O299" s="36"/>
      <c r="P299" s="39">
        <f>36566.972+0.01</f>
        <v>36566.982000000004</v>
      </c>
      <c r="Q299" s="36"/>
      <c r="R299" s="37"/>
      <c r="S299" s="29">
        <f t="shared" si="136"/>
        <v>0.99999677305556078</v>
      </c>
      <c r="T299" s="30" t="str">
        <f t="shared" si="137"/>
        <v xml:space="preserve"> </v>
      </c>
      <c r="U299" s="30">
        <f t="shared" si="138"/>
        <v>0.99999677305556078</v>
      </c>
      <c r="V299" s="30" t="str">
        <f t="shared" si="139"/>
        <v xml:space="preserve"> </v>
      </c>
      <c r="W299" s="30" t="str">
        <f t="shared" si="139"/>
        <v xml:space="preserve"> </v>
      </c>
    </row>
    <row r="300" spans="1:23" ht="60" customHeight="1" x14ac:dyDescent="0.2">
      <c r="A300" s="74"/>
      <c r="B300" s="75"/>
      <c r="C300" s="4" t="s">
        <v>455</v>
      </c>
      <c r="D300" s="35">
        <f t="shared" si="148"/>
        <v>0</v>
      </c>
      <c r="E300" s="36"/>
      <c r="F300" s="36"/>
      <c r="G300" s="36"/>
      <c r="H300" s="37"/>
      <c r="I300" s="35">
        <f t="shared" si="131"/>
        <v>30123.4</v>
      </c>
      <c r="J300" s="36"/>
      <c r="K300" s="39">
        <v>30123.4</v>
      </c>
      <c r="L300" s="36"/>
      <c r="M300" s="37"/>
      <c r="N300" s="35">
        <f t="shared" si="140"/>
        <v>30102.579000000002</v>
      </c>
      <c r="O300" s="36"/>
      <c r="P300" s="39">
        <v>30102.579000000002</v>
      </c>
      <c r="Q300" s="36"/>
      <c r="R300" s="37"/>
      <c r="S300" s="29">
        <f t="shared" si="136"/>
        <v>0.99930880976251024</v>
      </c>
      <c r="T300" s="30" t="str">
        <f t="shared" si="137"/>
        <v xml:space="preserve"> </v>
      </c>
      <c r="U300" s="30">
        <f t="shared" si="138"/>
        <v>0.99930880976251024</v>
      </c>
      <c r="V300" s="30" t="str">
        <f t="shared" si="139"/>
        <v xml:space="preserve"> </v>
      </c>
      <c r="W300" s="30" t="str">
        <f t="shared" si="139"/>
        <v xml:space="preserve"> </v>
      </c>
    </row>
    <row r="301" spans="1:23" s="8" customFormat="1" ht="69" customHeight="1" x14ac:dyDescent="0.2">
      <c r="A301" s="74"/>
      <c r="B301" s="75"/>
      <c r="C301" s="4" t="s">
        <v>456</v>
      </c>
      <c r="D301" s="35">
        <f t="shared" si="148"/>
        <v>0</v>
      </c>
      <c r="E301" s="36"/>
      <c r="F301" s="36"/>
      <c r="G301" s="36"/>
      <c r="H301" s="37"/>
      <c r="I301" s="35">
        <f t="shared" si="131"/>
        <v>43662.6</v>
      </c>
      <c r="J301" s="36"/>
      <c r="K301" s="39">
        <v>43662.6</v>
      </c>
      <c r="L301" s="36"/>
      <c r="M301" s="37"/>
      <c r="N301" s="35">
        <f t="shared" si="140"/>
        <v>43662.584999999992</v>
      </c>
      <c r="O301" s="36"/>
      <c r="P301" s="39">
        <v>43662.584999999992</v>
      </c>
      <c r="Q301" s="36"/>
      <c r="R301" s="37"/>
      <c r="S301" s="29">
        <f t="shared" si="136"/>
        <v>0.99999965645655531</v>
      </c>
      <c r="T301" s="30" t="str">
        <f t="shared" si="137"/>
        <v xml:space="preserve"> </v>
      </c>
      <c r="U301" s="30">
        <f t="shared" si="138"/>
        <v>0.99999965645655531</v>
      </c>
      <c r="V301" s="30" t="str">
        <f t="shared" si="139"/>
        <v xml:space="preserve"> </v>
      </c>
      <c r="W301" s="30" t="str">
        <f t="shared" si="139"/>
        <v xml:space="preserve"> </v>
      </c>
    </row>
    <row r="302" spans="1:23" s="8" customFormat="1" ht="83.25" customHeight="1" x14ac:dyDescent="0.2">
      <c r="A302" s="74"/>
      <c r="B302" s="75"/>
      <c r="C302" s="4" t="s">
        <v>457</v>
      </c>
      <c r="D302" s="35">
        <f t="shared" si="148"/>
        <v>0</v>
      </c>
      <c r="E302" s="36"/>
      <c r="F302" s="36"/>
      <c r="G302" s="36"/>
      <c r="H302" s="37"/>
      <c r="I302" s="35">
        <f t="shared" si="131"/>
        <v>128031.20000000001</v>
      </c>
      <c r="J302" s="36"/>
      <c r="K302" s="39">
        <v>128031.20000000001</v>
      </c>
      <c r="L302" s="36"/>
      <c r="M302" s="37"/>
      <c r="N302" s="35">
        <f t="shared" si="140"/>
        <v>128031.12700000001</v>
      </c>
      <c r="O302" s="36"/>
      <c r="P302" s="39">
        <v>128031.12700000001</v>
      </c>
      <c r="Q302" s="36"/>
      <c r="R302" s="37"/>
      <c r="S302" s="29">
        <f t="shared" si="136"/>
        <v>0.99999942982647971</v>
      </c>
      <c r="T302" s="30" t="str">
        <f t="shared" si="137"/>
        <v xml:space="preserve"> </v>
      </c>
      <c r="U302" s="30">
        <f t="shared" si="138"/>
        <v>0.99999942982647971</v>
      </c>
      <c r="V302" s="30" t="str">
        <f t="shared" si="139"/>
        <v xml:space="preserve"> </v>
      </c>
      <c r="W302" s="30" t="str">
        <f t="shared" si="139"/>
        <v xml:space="preserve"> </v>
      </c>
    </row>
    <row r="303" spans="1:23" ht="64.5" customHeight="1" x14ac:dyDescent="0.2">
      <c r="A303" s="74"/>
      <c r="B303" s="75"/>
      <c r="C303" s="4" t="s">
        <v>458</v>
      </c>
      <c r="D303" s="35">
        <f t="shared" si="148"/>
        <v>0</v>
      </c>
      <c r="E303" s="36"/>
      <c r="F303" s="36"/>
      <c r="G303" s="36"/>
      <c r="H303" s="37"/>
      <c r="I303" s="35">
        <f t="shared" si="131"/>
        <v>315900.5</v>
      </c>
      <c r="J303" s="36"/>
      <c r="K303" s="39">
        <v>315900.5</v>
      </c>
      <c r="L303" s="36"/>
      <c r="M303" s="37"/>
      <c r="N303" s="35">
        <f t="shared" si="140"/>
        <v>315842.29399999999</v>
      </c>
      <c r="O303" s="36"/>
      <c r="P303" s="39">
        <f>315842.134+0.048+0.1+0.012</f>
        <v>315842.29399999999</v>
      </c>
      <c r="Q303" s="36"/>
      <c r="R303" s="37"/>
      <c r="S303" s="29">
        <f t="shared" si="136"/>
        <v>0.99981574578071253</v>
      </c>
      <c r="T303" s="30" t="str">
        <f t="shared" si="137"/>
        <v xml:space="preserve"> </v>
      </c>
      <c r="U303" s="30">
        <f t="shared" si="138"/>
        <v>0.99981574578071253</v>
      </c>
      <c r="V303" s="30" t="str">
        <f t="shared" si="139"/>
        <v xml:space="preserve"> </v>
      </c>
      <c r="W303" s="30" t="str">
        <f t="shared" si="139"/>
        <v xml:space="preserve"> </v>
      </c>
    </row>
    <row r="304" spans="1:23" ht="84.75" customHeight="1" x14ac:dyDescent="0.2">
      <c r="A304" s="74"/>
      <c r="B304" s="75"/>
      <c r="C304" s="4" t="s">
        <v>459</v>
      </c>
      <c r="D304" s="35">
        <f t="shared" si="148"/>
        <v>0</v>
      </c>
      <c r="E304" s="36"/>
      <c r="F304" s="36"/>
      <c r="G304" s="36"/>
      <c r="H304" s="37"/>
      <c r="I304" s="35">
        <f t="shared" si="131"/>
        <v>41885.999999999993</v>
      </c>
      <c r="J304" s="36"/>
      <c r="K304" s="39">
        <v>41885.999999999993</v>
      </c>
      <c r="L304" s="36"/>
      <c r="M304" s="37"/>
      <c r="N304" s="35">
        <f t="shared" si="140"/>
        <v>41886</v>
      </c>
      <c r="O304" s="36"/>
      <c r="P304" s="39">
        <v>41886</v>
      </c>
      <c r="Q304" s="36"/>
      <c r="R304" s="37"/>
      <c r="S304" s="29">
        <f t="shared" si="136"/>
        <v>1.0000000000000002</v>
      </c>
      <c r="T304" s="30" t="str">
        <f t="shared" si="137"/>
        <v xml:space="preserve"> </v>
      </c>
      <c r="U304" s="30">
        <f t="shared" si="138"/>
        <v>1.0000000000000002</v>
      </c>
      <c r="V304" s="30" t="str">
        <f t="shared" si="139"/>
        <v xml:space="preserve"> </v>
      </c>
      <c r="W304" s="30" t="str">
        <f t="shared" si="139"/>
        <v xml:space="preserve"> </v>
      </c>
    </row>
    <row r="305" spans="1:23" ht="83.25" customHeight="1" x14ac:dyDescent="0.2">
      <c r="A305" s="74"/>
      <c r="B305" s="75"/>
      <c r="C305" s="4" t="s">
        <v>460</v>
      </c>
      <c r="D305" s="35">
        <f t="shared" si="148"/>
        <v>0</v>
      </c>
      <c r="E305" s="36"/>
      <c r="F305" s="36"/>
      <c r="G305" s="36"/>
      <c r="H305" s="37"/>
      <c r="I305" s="35">
        <f t="shared" si="131"/>
        <v>243089</v>
      </c>
      <c r="J305" s="36"/>
      <c r="K305" s="39">
        <v>243089</v>
      </c>
      <c r="L305" s="36"/>
      <c r="M305" s="37"/>
      <c r="N305" s="35">
        <f t="shared" si="140"/>
        <v>243089</v>
      </c>
      <c r="O305" s="36"/>
      <c r="P305" s="39">
        <v>243089</v>
      </c>
      <c r="Q305" s="36"/>
      <c r="R305" s="37"/>
      <c r="S305" s="29">
        <f t="shared" si="136"/>
        <v>1</v>
      </c>
      <c r="T305" s="30" t="str">
        <f t="shared" si="137"/>
        <v xml:space="preserve"> </v>
      </c>
      <c r="U305" s="30">
        <f t="shared" si="138"/>
        <v>1</v>
      </c>
      <c r="V305" s="30" t="str">
        <f t="shared" si="139"/>
        <v xml:space="preserve"> </v>
      </c>
      <c r="W305" s="30" t="str">
        <f t="shared" si="139"/>
        <v xml:space="preserve"> </v>
      </c>
    </row>
    <row r="306" spans="1:23" ht="67.5" customHeight="1" x14ac:dyDescent="0.2">
      <c r="A306" s="74"/>
      <c r="B306" s="75"/>
      <c r="C306" s="4" t="s">
        <v>461</v>
      </c>
      <c r="D306" s="35">
        <f t="shared" si="148"/>
        <v>0</v>
      </c>
      <c r="E306" s="36"/>
      <c r="F306" s="36"/>
      <c r="G306" s="36"/>
      <c r="H306" s="37"/>
      <c r="I306" s="35">
        <f t="shared" si="131"/>
        <v>56465.7</v>
      </c>
      <c r="J306" s="36"/>
      <c r="K306" s="39">
        <v>56465.7</v>
      </c>
      <c r="L306" s="36"/>
      <c r="M306" s="37"/>
      <c r="N306" s="35">
        <f t="shared" si="140"/>
        <v>56465.699000000001</v>
      </c>
      <c r="O306" s="36"/>
      <c r="P306" s="39">
        <f>56465.809-0.11</f>
        <v>56465.699000000001</v>
      </c>
      <c r="Q306" s="36"/>
      <c r="R306" s="37"/>
      <c r="S306" s="29">
        <f t="shared" si="136"/>
        <v>0.99999998229013376</v>
      </c>
      <c r="T306" s="30" t="str">
        <f t="shared" si="137"/>
        <v xml:space="preserve"> </v>
      </c>
      <c r="U306" s="30">
        <f t="shared" si="138"/>
        <v>0.99999998229013376</v>
      </c>
      <c r="V306" s="30" t="str">
        <f t="shared" si="139"/>
        <v xml:space="preserve"> </v>
      </c>
      <c r="W306" s="30" t="str">
        <f t="shared" si="139"/>
        <v xml:space="preserve"> </v>
      </c>
    </row>
    <row r="307" spans="1:23" ht="67.5" customHeight="1" x14ac:dyDescent="0.2">
      <c r="A307" s="74"/>
      <c r="B307" s="75"/>
      <c r="C307" s="4" t="s">
        <v>462</v>
      </c>
      <c r="D307" s="35">
        <f t="shared" si="148"/>
        <v>0</v>
      </c>
      <c r="E307" s="36"/>
      <c r="F307" s="36"/>
      <c r="G307" s="36"/>
      <c r="H307" s="37"/>
      <c r="I307" s="35">
        <f t="shared" si="131"/>
        <v>50709.3</v>
      </c>
      <c r="J307" s="36"/>
      <c r="K307" s="39">
        <v>50709.3</v>
      </c>
      <c r="L307" s="36"/>
      <c r="M307" s="37"/>
      <c r="N307" s="35">
        <f t="shared" si="140"/>
        <v>50709.292999999998</v>
      </c>
      <c r="O307" s="36"/>
      <c r="P307" s="39">
        <f>50709.233+0.06</f>
        <v>50709.292999999998</v>
      </c>
      <c r="Q307" s="36"/>
      <c r="R307" s="37"/>
      <c r="S307" s="29">
        <f t="shared" si="136"/>
        <v>0.99999986195826007</v>
      </c>
      <c r="T307" s="30" t="str">
        <f t="shared" si="137"/>
        <v xml:space="preserve"> </v>
      </c>
      <c r="U307" s="30">
        <f t="shared" si="138"/>
        <v>0.99999986195826007</v>
      </c>
      <c r="V307" s="30" t="str">
        <f t="shared" si="139"/>
        <v xml:space="preserve"> </v>
      </c>
      <c r="W307" s="30" t="str">
        <f t="shared" si="139"/>
        <v xml:space="preserve"> </v>
      </c>
    </row>
    <row r="308" spans="1:23" ht="68.25" customHeight="1" x14ac:dyDescent="0.2">
      <c r="A308" s="74"/>
      <c r="B308" s="75"/>
      <c r="C308" s="4" t="s">
        <v>463</v>
      </c>
      <c r="D308" s="35">
        <f t="shared" si="148"/>
        <v>0</v>
      </c>
      <c r="E308" s="36"/>
      <c r="F308" s="36"/>
      <c r="G308" s="36"/>
      <c r="H308" s="37"/>
      <c r="I308" s="35">
        <f t="shared" si="131"/>
        <v>35869.500000000007</v>
      </c>
      <c r="J308" s="36"/>
      <c r="K308" s="39">
        <v>35869.500000000007</v>
      </c>
      <c r="L308" s="36"/>
      <c r="M308" s="37"/>
      <c r="N308" s="35">
        <f t="shared" si="140"/>
        <v>35869.5</v>
      </c>
      <c r="O308" s="36"/>
      <c r="P308" s="39">
        <v>35869.5</v>
      </c>
      <c r="Q308" s="36"/>
      <c r="R308" s="37"/>
      <c r="S308" s="29">
        <f t="shared" si="136"/>
        <v>0.99999999999999978</v>
      </c>
      <c r="T308" s="30" t="str">
        <f t="shared" si="137"/>
        <v xml:space="preserve"> </v>
      </c>
      <c r="U308" s="30">
        <f t="shared" si="138"/>
        <v>0.99999999999999978</v>
      </c>
      <c r="V308" s="30" t="str">
        <f t="shared" si="139"/>
        <v xml:space="preserve"> </v>
      </c>
      <c r="W308" s="30" t="str">
        <f t="shared" si="139"/>
        <v xml:space="preserve"> </v>
      </c>
    </row>
    <row r="309" spans="1:23" ht="67.5" customHeight="1" x14ac:dyDescent="0.2">
      <c r="A309" s="74"/>
      <c r="B309" s="75"/>
      <c r="C309" s="4" t="s">
        <v>464</v>
      </c>
      <c r="D309" s="35">
        <f t="shared" si="148"/>
        <v>0</v>
      </c>
      <c r="E309" s="36"/>
      <c r="F309" s="36"/>
      <c r="G309" s="36"/>
      <c r="H309" s="37"/>
      <c r="I309" s="35">
        <f t="shared" si="131"/>
        <v>44165.600000000006</v>
      </c>
      <c r="J309" s="36"/>
      <c r="K309" s="39">
        <v>44165.600000000006</v>
      </c>
      <c r="L309" s="36"/>
      <c r="M309" s="37"/>
      <c r="N309" s="35">
        <f t="shared" si="140"/>
        <v>44165.599999999999</v>
      </c>
      <c r="O309" s="36"/>
      <c r="P309" s="39">
        <v>44165.599999999999</v>
      </c>
      <c r="Q309" s="36"/>
      <c r="R309" s="37"/>
      <c r="S309" s="29">
        <f t="shared" si="136"/>
        <v>0.99999999999999989</v>
      </c>
      <c r="T309" s="30" t="str">
        <f t="shared" si="137"/>
        <v xml:space="preserve"> </v>
      </c>
      <c r="U309" s="30">
        <f t="shared" si="138"/>
        <v>0.99999999999999989</v>
      </c>
      <c r="V309" s="30" t="str">
        <f t="shared" si="139"/>
        <v xml:space="preserve"> </v>
      </c>
      <c r="W309" s="30" t="str">
        <f t="shared" si="139"/>
        <v xml:space="preserve"> </v>
      </c>
    </row>
    <row r="310" spans="1:23" ht="63" customHeight="1" x14ac:dyDescent="0.2">
      <c r="A310" s="74"/>
      <c r="B310" s="75"/>
      <c r="C310" s="4" t="s">
        <v>465</v>
      </c>
      <c r="D310" s="35">
        <f t="shared" si="148"/>
        <v>0</v>
      </c>
      <c r="E310" s="36"/>
      <c r="F310" s="36"/>
      <c r="G310" s="36"/>
      <c r="H310" s="37"/>
      <c r="I310" s="35">
        <f t="shared" si="131"/>
        <v>61452.2</v>
      </c>
      <c r="J310" s="36"/>
      <c r="K310" s="39">
        <v>61452.2</v>
      </c>
      <c r="L310" s="36"/>
      <c r="M310" s="37"/>
      <c r="N310" s="35">
        <f t="shared" si="140"/>
        <v>61452.184999999998</v>
      </c>
      <c r="O310" s="36"/>
      <c r="P310" s="39">
        <v>61452.184999999998</v>
      </c>
      <c r="Q310" s="36"/>
      <c r="R310" s="37"/>
      <c r="S310" s="29">
        <f t="shared" si="136"/>
        <v>0.99999975590784385</v>
      </c>
      <c r="T310" s="30" t="str">
        <f t="shared" si="137"/>
        <v xml:space="preserve"> </v>
      </c>
      <c r="U310" s="30">
        <f t="shared" si="138"/>
        <v>0.99999975590784385</v>
      </c>
      <c r="V310" s="30" t="str">
        <f t="shared" si="139"/>
        <v xml:space="preserve"> </v>
      </c>
      <c r="W310" s="30" t="str">
        <f t="shared" si="139"/>
        <v xml:space="preserve"> </v>
      </c>
    </row>
    <row r="311" spans="1:23" ht="60" customHeight="1" x14ac:dyDescent="0.2">
      <c r="A311" s="74"/>
      <c r="B311" s="75"/>
      <c r="C311" s="4" t="s">
        <v>466</v>
      </c>
      <c r="D311" s="35">
        <f t="shared" si="148"/>
        <v>0</v>
      </c>
      <c r="E311" s="36"/>
      <c r="F311" s="36"/>
      <c r="G311" s="36"/>
      <c r="H311" s="37"/>
      <c r="I311" s="35">
        <f t="shared" si="131"/>
        <v>80015.199999999997</v>
      </c>
      <c r="J311" s="36"/>
      <c r="K311" s="39">
        <v>80015.199999999997</v>
      </c>
      <c r="L311" s="36"/>
      <c r="M311" s="37"/>
      <c r="N311" s="35">
        <f t="shared" si="140"/>
        <v>80015.130999999994</v>
      </c>
      <c r="O311" s="36"/>
      <c r="P311" s="39">
        <v>80015.130999999994</v>
      </c>
      <c r="Q311" s="36"/>
      <c r="R311" s="37"/>
      <c r="S311" s="29">
        <f t="shared" si="136"/>
        <v>0.99999913766384385</v>
      </c>
      <c r="T311" s="30" t="str">
        <f t="shared" si="137"/>
        <v xml:space="preserve"> </v>
      </c>
      <c r="U311" s="30">
        <f t="shared" si="138"/>
        <v>0.99999913766384385</v>
      </c>
      <c r="V311" s="30" t="str">
        <f t="shared" si="139"/>
        <v xml:space="preserve"> </v>
      </c>
      <c r="W311" s="30" t="str">
        <f t="shared" si="139"/>
        <v xml:space="preserve"> </v>
      </c>
    </row>
    <row r="312" spans="1:23" ht="60" customHeight="1" x14ac:dyDescent="0.2">
      <c r="A312" s="74"/>
      <c r="B312" s="75"/>
      <c r="C312" s="4" t="s">
        <v>467</v>
      </c>
      <c r="D312" s="35">
        <f t="shared" si="148"/>
        <v>0</v>
      </c>
      <c r="E312" s="36"/>
      <c r="F312" s="36"/>
      <c r="G312" s="36"/>
      <c r="H312" s="37"/>
      <c r="I312" s="35">
        <f t="shared" si="131"/>
        <v>5.9117155615240335E-12</v>
      </c>
      <c r="J312" s="36"/>
      <c r="K312" s="39">
        <v>5.9117155615240335E-12</v>
      </c>
      <c r="L312" s="36"/>
      <c r="M312" s="37"/>
      <c r="N312" s="35">
        <f t="shared" si="140"/>
        <v>0</v>
      </c>
      <c r="O312" s="36"/>
      <c r="P312" s="39">
        <v>0</v>
      </c>
      <c r="Q312" s="36"/>
      <c r="R312" s="37"/>
      <c r="S312" s="29">
        <f t="shared" si="136"/>
        <v>0</v>
      </c>
      <c r="T312" s="30" t="str">
        <f t="shared" si="137"/>
        <v xml:space="preserve"> </v>
      </c>
      <c r="U312" s="30">
        <f t="shared" si="138"/>
        <v>0</v>
      </c>
      <c r="V312" s="30" t="str">
        <f t="shared" si="139"/>
        <v xml:space="preserve"> </v>
      </c>
      <c r="W312" s="30" t="str">
        <f t="shared" si="139"/>
        <v xml:space="preserve"> </v>
      </c>
    </row>
    <row r="313" spans="1:23" ht="60" customHeight="1" x14ac:dyDescent="0.2">
      <c r="A313" s="74"/>
      <c r="B313" s="75"/>
      <c r="C313" s="4" t="s">
        <v>468</v>
      </c>
      <c r="D313" s="35">
        <f t="shared" si="148"/>
        <v>0</v>
      </c>
      <c r="E313" s="36"/>
      <c r="F313" s="36"/>
      <c r="G313" s="36"/>
      <c r="H313" s="37"/>
      <c r="I313" s="35">
        <f t="shared" si="131"/>
        <v>0</v>
      </c>
      <c r="J313" s="36"/>
      <c r="K313" s="39">
        <v>0</v>
      </c>
      <c r="L313" s="36"/>
      <c r="M313" s="37"/>
      <c r="N313" s="35">
        <f t="shared" si="140"/>
        <v>0</v>
      </c>
      <c r="O313" s="36"/>
      <c r="P313" s="39">
        <v>0</v>
      </c>
      <c r="Q313" s="36"/>
      <c r="R313" s="37"/>
      <c r="S313" s="29" t="str">
        <f t="shared" si="136"/>
        <v xml:space="preserve"> </v>
      </c>
      <c r="T313" s="30" t="str">
        <f t="shared" si="137"/>
        <v xml:space="preserve"> </v>
      </c>
      <c r="U313" s="30" t="str">
        <f t="shared" si="138"/>
        <v xml:space="preserve"> </v>
      </c>
      <c r="V313" s="30" t="str">
        <f t="shared" si="139"/>
        <v xml:space="preserve"> </v>
      </c>
      <c r="W313" s="30" t="str">
        <f t="shared" si="139"/>
        <v xml:space="preserve"> </v>
      </c>
    </row>
    <row r="314" spans="1:23" ht="60" customHeight="1" x14ac:dyDescent="0.2">
      <c r="A314" s="74"/>
      <c r="B314" s="75"/>
      <c r="C314" s="4" t="s">
        <v>469</v>
      </c>
      <c r="D314" s="35">
        <f t="shared" si="148"/>
        <v>0</v>
      </c>
      <c r="E314" s="36"/>
      <c r="F314" s="36"/>
      <c r="G314" s="36"/>
      <c r="H314" s="37"/>
      <c r="I314" s="35">
        <f t="shared" si="131"/>
        <v>58035.899999999994</v>
      </c>
      <c r="J314" s="36"/>
      <c r="K314" s="39">
        <v>58035.899999999994</v>
      </c>
      <c r="L314" s="36"/>
      <c r="M314" s="37"/>
      <c r="N314" s="35">
        <f t="shared" si="140"/>
        <v>57997.039000000004</v>
      </c>
      <c r="O314" s="36"/>
      <c r="P314" s="39">
        <v>57997.039000000004</v>
      </c>
      <c r="Q314" s="36"/>
      <c r="R314" s="37"/>
      <c r="S314" s="29">
        <f t="shared" si="136"/>
        <v>0.99933039721965211</v>
      </c>
      <c r="T314" s="30" t="str">
        <f t="shared" si="137"/>
        <v xml:space="preserve"> </v>
      </c>
      <c r="U314" s="30">
        <f t="shared" si="138"/>
        <v>0.99933039721965211</v>
      </c>
      <c r="V314" s="30" t="str">
        <f t="shared" si="139"/>
        <v xml:space="preserve"> </v>
      </c>
      <c r="W314" s="30" t="str">
        <f t="shared" si="139"/>
        <v xml:space="preserve"> </v>
      </c>
    </row>
    <row r="315" spans="1:23" ht="60" customHeight="1" x14ac:dyDescent="0.2">
      <c r="A315" s="74"/>
      <c r="B315" s="75"/>
      <c r="C315" s="4" t="s">
        <v>470</v>
      </c>
      <c r="D315" s="35">
        <f t="shared" si="148"/>
        <v>0</v>
      </c>
      <c r="E315" s="36"/>
      <c r="F315" s="36"/>
      <c r="G315" s="36"/>
      <c r="H315" s="37"/>
      <c r="I315" s="35">
        <f t="shared" si="131"/>
        <v>8.6401996668428183E-12</v>
      </c>
      <c r="J315" s="36"/>
      <c r="K315" s="39">
        <v>8.6401996668428183E-12</v>
      </c>
      <c r="L315" s="36"/>
      <c r="M315" s="37"/>
      <c r="N315" s="35">
        <f t="shared" si="140"/>
        <v>0</v>
      </c>
      <c r="O315" s="36"/>
      <c r="P315" s="39">
        <v>0</v>
      </c>
      <c r="Q315" s="36"/>
      <c r="R315" s="37"/>
      <c r="S315" s="29">
        <f t="shared" si="136"/>
        <v>0</v>
      </c>
      <c r="T315" s="30" t="str">
        <f t="shared" si="137"/>
        <v xml:space="preserve"> </v>
      </c>
      <c r="U315" s="30">
        <f t="shared" si="138"/>
        <v>0</v>
      </c>
      <c r="V315" s="30" t="str">
        <f t="shared" si="139"/>
        <v xml:space="preserve"> </v>
      </c>
      <c r="W315" s="30" t="str">
        <f t="shared" si="139"/>
        <v xml:space="preserve"> </v>
      </c>
    </row>
    <row r="316" spans="1:23" ht="60" customHeight="1" x14ac:dyDescent="0.2">
      <c r="A316" s="74"/>
      <c r="B316" s="75"/>
      <c r="C316" s="4" t="s">
        <v>471</v>
      </c>
      <c r="D316" s="35">
        <f t="shared" si="148"/>
        <v>0</v>
      </c>
      <c r="E316" s="36"/>
      <c r="F316" s="36"/>
      <c r="G316" s="36"/>
      <c r="H316" s="37"/>
      <c r="I316" s="35">
        <f t="shared" si="131"/>
        <v>0</v>
      </c>
      <c r="J316" s="36"/>
      <c r="K316" s="39">
        <v>0</v>
      </c>
      <c r="L316" s="36"/>
      <c r="M316" s="37"/>
      <c r="N316" s="35">
        <f t="shared" si="140"/>
        <v>0</v>
      </c>
      <c r="O316" s="36"/>
      <c r="P316" s="39">
        <v>0</v>
      </c>
      <c r="Q316" s="36"/>
      <c r="R316" s="37"/>
      <c r="S316" s="29" t="str">
        <f t="shared" si="136"/>
        <v xml:space="preserve"> </v>
      </c>
      <c r="T316" s="30" t="str">
        <f t="shared" si="137"/>
        <v xml:space="preserve"> </v>
      </c>
      <c r="U316" s="30" t="str">
        <f t="shared" si="138"/>
        <v xml:space="preserve"> </v>
      </c>
      <c r="V316" s="30" t="str">
        <f t="shared" si="139"/>
        <v xml:space="preserve"> </v>
      </c>
      <c r="W316" s="30" t="str">
        <f t="shared" si="139"/>
        <v xml:space="preserve"> </v>
      </c>
    </row>
    <row r="317" spans="1:23" ht="60" customHeight="1" x14ac:dyDescent="0.2">
      <c r="A317" s="74"/>
      <c r="B317" s="75"/>
      <c r="C317" s="4" t="s">
        <v>472</v>
      </c>
      <c r="D317" s="35">
        <f t="shared" si="148"/>
        <v>0</v>
      </c>
      <c r="E317" s="36"/>
      <c r="F317" s="36"/>
      <c r="G317" s="36"/>
      <c r="H317" s="37"/>
      <c r="I317" s="35">
        <f t="shared" si="131"/>
        <v>-8.6401996668428183E-12</v>
      </c>
      <c r="J317" s="36"/>
      <c r="K317" s="39">
        <v>-8.6401996668428183E-12</v>
      </c>
      <c r="L317" s="36"/>
      <c r="M317" s="37"/>
      <c r="N317" s="35">
        <f t="shared" si="140"/>
        <v>0</v>
      </c>
      <c r="O317" s="36"/>
      <c r="P317" s="39">
        <v>0</v>
      </c>
      <c r="Q317" s="36"/>
      <c r="R317" s="37"/>
      <c r="S317" s="29">
        <f t="shared" si="136"/>
        <v>0</v>
      </c>
      <c r="T317" s="30" t="str">
        <f t="shared" si="137"/>
        <v xml:space="preserve"> </v>
      </c>
      <c r="U317" s="30">
        <f t="shared" si="138"/>
        <v>0</v>
      </c>
      <c r="V317" s="30" t="str">
        <f t="shared" si="139"/>
        <v xml:space="preserve"> </v>
      </c>
      <c r="W317" s="30" t="str">
        <f t="shared" si="139"/>
        <v xml:space="preserve"> </v>
      </c>
    </row>
    <row r="318" spans="1:23" ht="60" customHeight="1" x14ac:dyDescent="0.2">
      <c r="A318" s="74"/>
      <c r="B318" s="75"/>
      <c r="C318" s="4" t="s">
        <v>473</v>
      </c>
      <c r="D318" s="35">
        <f t="shared" si="148"/>
        <v>0</v>
      </c>
      <c r="E318" s="36"/>
      <c r="F318" s="36"/>
      <c r="G318" s="36"/>
      <c r="H318" s="37"/>
      <c r="I318" s="35">
        <f t="shared" si="131"/>
        <v>61370</v>
      </c>
      <c r="J318" s="36"/>
      <c r="K318" s="39">
        <v>61370</v>
      </c>
      <c r="L318" s="36"/>
      <c r="M318" s="37"/>
      <c r="N318" s="35">
        <f t="shared" si="140"/>
        <v>61362.83</v>
      </c>
      <c r="O318" s="36"/>
      <c r="P318" s="39">
        <v>61362.83</v>
      </c>
      <c r="Q318" s="36"/>
      <c r="R318" s="37"/>
      <c r="S318" s="29">
        <f t="shared" si="136"/>
        <v>0.99988316767150076</v>
      </c>
      <c r="T318" s="30" t="str">
        <f t="shared" si="137"/>
        <v xml:space="preserve"> </v>
      </c>
      <c r="U318" s="30">
        <f t="shared" si="138"/>
        <v>0.99988316767150076</v>
      </c>
      <c r="V318" s="30" t="str">
        <f t="shared" si="139"/>
        <v xml:space="preserve"> </v>
      </c>
      <c r="W318" s="30" t="str">
        <f t="shared" si="139"/>
        <v xml:space="preserve"> </v>
      </c>
    </row>
    <row r="319" spans="1:23" ht="60" customHeight="1" x14ac:dyDescent="0.2">
      <c r="A319" s="74"/>
      <c r="B319" s="75"/>
      <c r="C319" s="4" t="s">
        <v>474</v>
      </c>
      <c r="D319" s="35">
        <f t="shared" si="148"/>
        <v>0</v>
      </c>
      <c r="E319" s="36"/>
      <c r="F319" s="36"/>
      <c r="G319" s="36"/>
      <c r="H319" s="37"/>
      <c r="I319" s="35">
        <f t="shared" si="131"/>
        <v>50809.299999999996</v>
      </c>
      <c r="J319" s="36"/>
      <c r="K319" s="39">
        <v>50809.299999999996</v>
      </c>
      <c r="L319" s="36"/>
      <c r="M319" s="37"/>
      <c r="N319" s="35">
        <f t="shared" si="140"/>
        <v>50809.3</v>
      </c>
      <c r="O319" s="36"/>
      <c r="P319" s="39">
        <v>50809.3</v>
      </c>
      <c r="Q319" s="36"/>
      <c r="R319" s="37"/>
      <c r="S319" s="29">
        <f t="shared" si="136"/>
        <v>1.0000000000000002</v>
      </c>
      <c r="T319" s="30" t="str">
        <f t="shared" si="137"/>
        <v xml:space="preserve"> </v>
      </c>
      <c r="U319" s="30">
        <f t="shared" si="138"/>
        <v>1.0000000000000002</v>
      </c>
      <c r="V319" s="30" t="str">
        <f t="shared" si="139"/>
        <v xml:space="preserve"> </v>
      </c>
      <c r="W319" s="30" t="str">
        <f t="shared" si="139"/>
        <v xml:space="preserve"> </v>
      </c>
    </row>
    <row r="320" spans="1:23" ht="60" customHeight="1" x14ac:dyDescent="0.2">
      <c r="A320" s="74"/>
      <c r="B320" s="75"/>
      <c r="C320" s="4" t="s">
        <v>475</v>
      </c>
      <c r="D320" s="35">
        <f t="shared" si="148"/>
        <v>0</v>
      </c>
      <c r="E320" s="36"/>
      <c r="F320" s="36"/>
      <c r="G320" s="36"/>
      <c r="H320" s="37"/>
      <c r="I320" s="35">
        <f t="shared" si="131"/>
        <v>38042.400000000001</v>
      </c>
      <c r="J320" s="36"/>
      <c r="K320" s="39">
        <v>38042.400000000001</v>
      </c>
      <c r="L320" s="36"/>
      <c r="M320" s="37"/>
      <c r="N320" s="35">
        <f t="shared" si="140"/>
        <v>38034.159999999996</v>
      </c>
      <c r="O320" s="36"/>
      <c r="P320" s="39">
        <v>38034.159999999996</v>
      </c>
      <c r="Q320" s="36"/>
      <c r="R320" s="37"/>
      <c r="S320" s="29">
        <f t="shared" si="136"/>
        <v>0.99978339957521067</v>
      </c>
      <c r="T320" s="30" t="str">
        <f t="shared" si="137"/>
        <v xml:space="preserve"> </v>
      </c>
      <c r="U320" s="30">
        <f t="shared" si="138"/>
        <v>0.99978339957521067</v>
      </c>
      <c r="V320" s="30" t="str">
        <f t="shared" si="139"/>
        <v xml:space="preserve"> </v>
      </c>
      <c r="W320" s="30" t="str">
        <f t="shared" si="139"/>
        <v xml:space="preserve"> </v>
      </c>
    </row>
    <row r="321" spans="1:23" ht="60" customHeight="1" x14ac:dyDescent="0.2">
      <c r="A321" s="74"/>
      <c r="B321" s="75"/>
      <c r="C321" s="4" t="s">
        <v>476</v>
      </c>
      <c r="D321" s="35">
        <f t="shared" si="148"/>
        <v>0</v>
      </c>
      <c r="E321" s="36"/>
      <c r="F321" s="36"/>
      <c r="G321" s="36"/>
      <c r="H321" s="37"/>
      <c r="I321" s="35">
        <f t="shared" si="131"/>
        <v>71502.8</v>
      </c>
      <c r="J321" s="36"/>
      <c r="K321" s="39">
        <v>71502.8</v>
      </c>
      <c r="L321" s="36"/>
      <c r="M321" s="37"/>
      <c r="N321" s="35">
        <f t="shared" si="140"/>
        <v>71502.698000000004</v>
      </c>
      <c r="O321" s="36"/>
      <c r="P321" s="39">
        <v>71502.698000000004</v>
      </c>
      <c r="Q321" s="36"/>
      <c r="R321" s="37"/>
      <c r="S321" s="29">
        <f t="shared" si="136"/>
        <v>0.99999857348243704</v>
      </c>
      <c r="T321" s="30" t="str">
        <f t="shared" si="137"/>
        <v xml:space="preserve"> </v>
      </c>
      <c r="U321" s="30">
        <f t="shared" si="138"/>
        <v>0.99999857348243704</v>
      </c>
      <c r="V321" s="30" t="str">
        <f t="shared" si="139"/>
        <v xml:space="preserve"> </v>
      </c>
      <c r="W321" s="30" t="str">
        <f t="shared" si="139"/>
        <v xml:space="preserve"> </v>
      </c>
    </row>
    <row r="322" spans="1:23" ht="60" customHeight="1" x14ac:dyDescent="0.2">
      <c r="A322" s="74"/>
      <c r="B322" s="75"/>
      <c r="C322" s="4" t="s">
        <v>477</v>
      </c>
      <c r="D322" s="35">
        <f t="shared" si="148"/>
        <v>0</v>
      </c>
      <c r="E322" s="36"/>
      <c r="F322" s="36"/>
      <c r="G322" s="36"/>
      <c r="H322" s="37"/>
      <c r="I322" s="35">
        <f t="shared" si="131"/>
        <v>52595.199999999997</v>
      </c>
      <c r="J322" s="36"/>
      <c r="K322" s="39">
        <v>52595.199999999997</v>
      </c>
      <c r="L322" s="36"/>
      <c r="M322" s="37"/>
      <c r="N322" s="35">
        <f t="shared" si="140"/>
        <v>52584.636999999995</v>
      </c>
      <c r="O322" s="36"/>
      <c r="P322" s="39">
        <v>52584.636999999995</v>
      </c>
      <c r="Q322" s="36"/>
      <c r="R322" s="37"/>
      <c r="S322" s="29">
        <f t="shared" si="136"/>
        <v>0.99979916418228276</v>
      </c>
      <c r="T322" s="30" t="str">
        <f t="shared" si="137"/>
        <v xml:space="preserve"> </v>
      </c>
      <c r="U322" s="30">
        <f t="shared" si="138"/>
        <v>0.99979916418228276</v>
      </c>
      <c r="V322" s="30" t="str">
        <f t="shared" si="139"/>
        <v xml:space="preserve"> </v>
      </c>
      <c r="W322" s="30" t="str">
        <f t="shared" si="139"/>
        <v xml:space="preserve"> </v>
      </c>
    </row>
    <row r="323" spans="1:23" ht="79.5" customHeight="1" x14ac:dyDescent="0.2">
      <c r="A323" s="74"/>
      <c r="B323" s="75"/>
      <c r="C323" s="4" t="s">
        <v>478</v>
      </c>
      <c r="D323" s="35">
        <f t="shared" si="148"/>
        <v>0</v>
      </c>
      <c r="E323" s="36"/>
      <c r="F323" s="36"/>
      <c r="G323" s="36"/>
      <c r="H323" s="37"/>
      <c r="I323" s="35">
        <f t="shared" si="131"/>
        <v>54710.299999999996</v>
      </c>
      <c r="J323" s="36"/>
      <c r="K323" s="39">
        <v>54710.299999999996</v>
      </c>
      <c r="L323" s="36"/>
      <c r="M323" s="37"/>
      <c r="N323" s="35">
        <f t="shared" si="140"/>
        <v>54710.294000000002</v>
      </c>
      <c r="O323" s="36"/>
      <c r="P323" s="39">
        <v>54710.294000000002</v>
      </c>
      <c r="Q323" s="36"/>
      <c r="R323" s="37"/>
      <c r="S323" s="29">
        <f t="shared" si="136"/>
        <v>0.99999989033143677</v>
      </c>
      <c r="T323" s="30" t="str">
        <f t="shared" si="137"/>
        <v xml:space="preserve"> </v>
      </c>
      <c r="U323" s="30">
        <f t="shared" si="138"/>
        <v>0.99999989033143677</v>
      </c>
      <c r="V323" s="30" t="str">
        <f t="shared" si="139"/>
        <v xml:space="preserve"> </v>
      </c>
      <c r="W323" s="30" t="str">
        <f t="shared" si="139"/>
        <v xml:space="preserve"> </v>
      </c>
    </row>
    <row r="324" spans="1:23" ht="64.5" customHeight="1" x14ac:dyDescent="0.2">
      <c r="A324" s="74"/>
      <c r="B324" s="75"/>
      <c r="C324" s="4" t="s">
        <v>479</v>
      </c>
      <c r="D324" s="35">
        <f t="shared" si="148"/>
        <v>0</v>
      </c>
      <c r="E324" s="36"/>
      <c r="F324" s="36"/>
      <c r="G324" s="36"/>
      <c r="H324" s="37"/>
      <c r="I324" s="35">
        <f t="shared" si="131"/>
        <v>25688.600000000002</v>
      </c>
      <c r="J324" s="36"/>
      <c r="K324" s="39">
        <v>25688.600000000002</v>
      </c>
      <c r="L324" s="36"/>
      <c r="M324" s="37"/>
      <c r="N324" s="35">
        <f t="shared" si="140"/>
        <v>22133.877000000004</v>
      </c>
      <c r="O324" s="36"/>
      <c r="P324" s="39">
        <v>22133.877000000004</v>
      </c>
      <c r="Q324" s="36"/>
      <c r="R324" s="37"/>
      <c r="S324" s="29">
        <f t="shared" si="136"/>
        <v>0.86162254852346964</v>
      </c>
      <c r="T324" s="30" t="str">
        <f t="shared" si="137"/>
        <v xml:space="preserve"> </v>
      </c>
      <c r="U324" s="30">
        <f t="shared" si="138"/>
        <v>0.86162254852346964</v>
      </c>
      <c r="V324" s="30" t="str">
        <f t="shared" si="139"/>
        <v xml:space="preserve"> </v>
      </c>
      <c r="W324" s="30" t="str">
        <f t="shared" si="139"/>
        <v xml:space="preserve"> </v>
      </c>
    </row>
    <row r="325" spans="1:23" ht="101.25" customHeight="1" x14ac:dyDescent="0.2">
      <c r="A325" s="74"/>
      <c r="B325" s="75"/>
      <c r="C325" s="4" t="s">
        <v>480</v>
      </c>
      <c r="D325" s="35">
        <f t="shared" si="148"/>
        <v>0</v>
      </c>
      <c r="E325" s="36"/>
      <c r="F325" s="36"/>
      <c r="G325" s="36"/>
      <c r="H325" s="37"/>
      <c r="I325" s="35">
        <f t="shared" si="131"/>
        <v>76909.7</v>
      </c>
      <c r="J325" s="36"/>
      <c r="K325" s="39">
        <v>71629.7</v>
      </c>
      <c r="L325" s="36">
        <v>5280</v>
      </c>
      <c r="M325" s="37"/>
      <c r="N325" s="35">
        <f t="shared" si="140"/>
        <v>76212.87</v>
      </c>
      <c r="O325" s="36"/>
      <c r="P325" s="39">
        <v>70932.87</v>
      </c>
      <c r="Q325" s="36">
        <v>5280</v>
      </c>
      <c r="R325" s="37"/>
      <c r="S325" s="29">
        <f t="shared" si="136"/>
        <v>0.99093963440242261</v>
      </c>
      <c r="T325" s="30" t="str">
        <f t="shared" si="137"/>
        <v xml:space="preserve"> </v>
      </c>
      <c r="U325" s="30">
        <f t="shared" si="138"/>
        <v>0.99027177274231215</v>
      </c>
      <c r="V325" s="30">
        <f t="shared" si="139"/>
        <v>1</v>
      </c>
      <c r="W325" s="30" t="str">
        <f t="shared" si="139"/>
        <v xml:space="preserve"> </v>
      </c>
    </row>
    <row r="326" spans="1:23" ht="40.5" customHeight="1" x14ac:dyDescent="0.2">
      <c r="A326" s="72">
        <v>1077</v>
      </c>
      <c r="B326" s="76">
        <v>21001</v>
      </c>
      <c r="C326" s="1" t="s">
        <v>531</v>
      </c>
      <c r="D326" s="5">
        <f t="shared" ref="D326" si="149">SUM(E326:H326)</f>
        <v>0</v>
      </c>
      <c r="E326" s="6"/>
      <c r="F326" s="6"/>
      <c r="G326" s="6"/>
      <c r="H326" s="7"/>
      <c r="I326" s="5">
        <f t="shared" ref="I326:I333" si="150">SUM(J326:M326)</f>
        <v>12961.8</v>
      </c>
      <c r="J326" s="6"/>
      <c r="K326" s="6"/>
      <c r="L326" s="6">
        <v>12961.8</v>
      </c>
      <c r="M326" s="7"/>
      <c r="N326" s="5">
        <f t="shared" ref="N326" si="151">SUM(O326:R326)</f>
        <v>12961.8</v>
      </c>
      <c r="O326" s="6"/>
      <c r="P326" s="6"/>
      <c r="Q326" s="6">
        <v>12961.8</v>
      </c>
      <c r="R326" s="7"/>
      <c r="S326" s="26">
        <f t="shared" si="136"/>
        <v>1</v>
      </c>
      <c r="T326" s="27" t="str">
        <f t="shared" si="137"/>
        <v xml:space="preserve"> </v>
      </c>
      <c r="U326" s="27" t="str">
        <f t="shared" si="138"/>
        <v xml:space="preserve"> </v>
      </c>
      <c r="V326" s="27">
        <f t="shared" si="139"/>
        <v>1</v>
      </c>
      <c r="W326" s="27" t="str">
        <f t="shared" si="139"/>
        <v xml:space="preserve"> </v>
      </c>
    </row>
    <row r="327" spans="1:23" ht="60.75" customHeight="1" x14ac:dyDescent="0.2">
      <c r="A327" s="72">
        <v>1079</v>
      </c>
      <c r="B327" s="76">
        <v>31004</v>
      </c>
      <c r="C327" s="1" t="s">
        <v>532</v>
      </c>
      <c r="D327" s="5">
        <f t="shared" ref="D327" si="152">SUM(E327:H327)</f>
        <v>0</v>
      </c>
      <c r="E327" s="6"/>
      <c r="F327" s="6"/>
      <c r="G327" s="6"/>
      <c r="H327" s="7"/>
      <c r="I327" s="5">
        <f t="shared" si="150"/>
        <v>2000</v>
      </c>
      <c r="J327" s="6"/>
      <c r="K327" s="6"/>
      <c r="L327" s="6">
        <v>2000</v>
      </c>
      <c r="M327" s="7"/>
      <c r="N327" s="5">
        <f t="shared" ref="N327" si="153">SUM(O327:R327)</f>
        <v>1978</v>
      </c>
      <c r="O327" s="6"/>
      <c r="P327" s="6"/>
      <c r="Q327" s="6">
        <v>1978</v>
      </c>
      <c r="R327" s="7"/>
      <c r="S327" s="26">
        <f t="shared" si="136"/>
        <v>0.98899999999999999</v>
      </c>
      <c r="T327" s="27" t="str">
        <f t="shared" si="137"/>
        <v xml:space="preserve"> </v>
      </c>
      <c r="U327" s="27" t="str">
        <f t="shared" si="138"/>
        <v xml:space="preserve"> </v>
      </c>
      <c r="V327" s="27">
        <f t="shared" si="139"/>
        <v>0.98899999999999999</v>
      </c>
      <c r="W327" s="27" t="str">
        <f t="shared" si="139"/>
        <v xml:space="preserve"> </v>
      </c>
    </row>
    <row r="328" spans="1:23" ht="75.75" customHeight="1" x14ac:dyDescent="0.2">
      <c r="A328" s="72">
        <v>1106</v>
      </c>
      <c r="B328" s="76">
        <v>31001</v>
      </c>
      <c r="C328" s="1" t="s">
        <v>533</v>
      </c>
      <c r="D328" s="5">
        <f t="shared" ref="D328" si="154">SUM(E328:H328)</f>
        <v>0</v>
      </c>
      <c r="E328" s="6"/>
      <c r="F328" s="6"/>
      <c r="G328" s="6"/>
      <c r="H328" s="7"/>
      <c r="I328" s="5">
        <f t="shared" si="150"/>
        <v>4000</v>
      </c>
      <c r="J328" s="6"/>
      <c r="K328" s="6"/>
      <c r="L328" s="6"/>
      <c r="M328" s="7">
        <v>4000</v>
      </c>
      <c r="N328" s="5">
        <f t="shared" ref="N328" si="155">SUM(O328:R328)</f>
        <v>3624</v>
      </c>
      <c r="O328" s="6"/>
      <c r="P328" s="6"/>
      <c r="Q328" s="6"/>
      <c r="R328" s="7">
        <v>3624</v>
      </c>
      <c r="S328" s="26">
        <f t="shared" si="136"/>
        <v>0.90600000000000003</v>
      </c>
      <c r="T328" s="27" t="str">
        <f t="shared" si="137"/>
        <v xml:space="preserve"> </v>
      </c>
      <c r="U328" s="27" t="str">
        <f t="shared" si="138"/>
        <v xml:space="preserve"> </v>
      </c>
      <c r="V328" s="27" t="str">
        <f t="shared" si="139"/>
        <v xml:space="preserve"> </v>
      </c>
      <c r="W328" s="27">
        <f t="shared" si="139"/>
        <v>0.90600000000000003</v>
      </c>
    </row>
    <row r="329" spans="1:23" ht="39" customHeight="1" x14ac:dyDescent="0.2">
      <c r="A329" s="72">
        <v>1109</v>
      </c>
      <c r="B329" s="76">
        <v>31001</v>
      </c>
      <c r="C329" s="1" t="s">
        <v>481</v>
      </c>
      <c r="D329" s="5">
        <f t="shared" si="148"/>
        <v>0</v>
      </c>
      <c r="E329" s="6"/>
      <c r="F329" s="6"/>
      <c r="G329" s="6"/>
      <c r="H329" s="7"/>
      <c r="I329" s="5">
        <f t="shared" si="150"/>
        <v>820</v>
      </c>
      <c r="J329" s="6"/>
      <c r="K329" s="6"/>
      <c r="L329" s="6"/>
      <c r="M329" s="7">
        <v>820</v>
      </c>
      <c r="N329" s="5">
        <f t="shared" si="140"/>
        <v>820</v>
      </c>
      <c r="O329" s="6"/>
      <c r="P329" s="6"/>
      <c r="Q329" s="6"/>
      <c r="R329" s="7">
        <v>820</v>
      </c>
      <c r="S329" s="26">
        <f t="shared" si="136"/>
        <v>1</v>
      </c>
      <c r="T329" s="27" t="str">
        <f t="shared" si="137"/>
        <v xml:space="preserve"> </v>
      </c>
      <c r="U329" s="27" t="str">
        <f t="shared" si="138"/>
        <v xml:space="preserve"> </v>
      </c>
      <c r="V329" s="27" t="str">
        <f t="shared" si="139"/>
        <v xml:space="preserve"> </v>
      </c>
      <c r="W329" s="27">
        <f t="shared" si="139"/>
        <v>1</v>
      </c>
    </row>
    <row r="330" spans="1:23" ht="47.25" customHeight="1" x14ac:dyDescent="0.2">
      <c r="A330" s="72">
        <v>1157</v>
      </c>
      <c r="B330" s="76">
        <v>21001</v>
      </c>
      <c r="C330" s="1" t="s">
        <v>844</v>
      </c>
      <c r="D330" s="5">
        <f t="shared" si="148"/>
        <v>500000</v>
      </c>
      <c r="E330" s="6"/>
      <c r="F330" s="6">
        <v>500000</v>
      </c>
      <c r="G330" s="6"/>
      <c r="H330" s="7"/>
      <c r="I330" s="5">
        <f t="shared" si="150"/>
        <v>150288.4</v>
      </c>
      <c r="J330" s="6"/>
      <c r="K330" s="6">
        <v>54691.5</v>
      </c>
      <c r="L330" s="6"/>
      <c r="M330" s="7">
        <v>95596.9</v>
      </c>
      <c r="N330" s="5">
        <f t="shared" si="140"/>
        <v>49628.51</v>
      </c>
      <c r="O330" s="6"/>
      <c r="P330" s="6">
        <v>37349.300000000003</v>
      </c>
      <c r="Q330" s="6"/>
      <c r="R330" s="7">
        <v>12279.21</v>
      </c>
      <c r="S330" s="26">
        <f t="shared" si="136"/>
        <v>0.33022182683427331</v>
      </c>
      <c r="T330" s="27" t="str">
        <f t="shared" si="137"/>
        <v xml:space="preserve"> </v>
      </c>
      <c r="U330" s="27">
        <f t="shared" si="138"/>
        <v>0.68290867867950233</v>
      </c>
      <c r="V330" s="27" t="str">
        <f t="shared" si="139"/>
        <v xml:space="preserve"> </v>
      </c>
      <c r="W330" s="27">
        <f t="shared" si="139"/>
        <v>0.12844778439468224</v>
      </c>
    </row>
    <row r="331" spans="1:23" ht="86.25" customHeight="1" x14ac:dyDescent="0.2">
      <c r="A331" s="72">
        <v>1157</v>
      </c>
      <c r="B331" s="76">
        <v>31001</v>
      </c>
      <c r="C331" s="1" t="s">
        <v>534</v>
      </c>
      <c r="D331" s="5">
        <f t="shared" ref="D331" si="156">SUM(E331:H331)</f>
        <v>0</v>
      </c>
      <c r="E331" s="6"/>
      <c r="F331" s="6"/>
      <c r="G331" s="6"/>
      <c r="H331" s="7"/>
      <c r="I331" s="5">
        <f t="shared" si="150"/>
        <v>45301</v>
      </c>
      <c r="J331" s="6"/>
      <c r="K331" s="6"/>
      <c r="L331" s="6">
        <v>45301</v>
      </c>
      <c r="M331" s="7"/>
      <c r="N331" s="5">
        <f t="shared" ref="N331" si="157">SUM(O331:R331)</f>
        <v>45301</v>
      </c>
      <c r="O331" s="6"/>
      <c r="P331" s="6"/>
      <c r="Q331" s="6">
        <v>45301</v>
      </c>
      <c r="R331" s="7"/>
      <c r="S331" s="26">
        <f t="shared" si="136"/>
        <v>1</v>
      </c>
      <c r="T331" s="27" t="str">
        <f t="shared" si="137"/>
        <v xml:space="preserve"> </v>
      </c>
      <c r="U331" s="27" t="str">
        <f t="shared" si="138"/>
        <v xml:space="preserve"> </v>
      </c>
      <c r="V331" s="27">
        <f t="shared" si="139"/>
        <v>1</v>
      </c>
      <c r="W331" s="27" t="str">
        <f t="shared" si="139"/>
        <v xml:space="preserve"> </v>
      </c>
    </row>
    <row r="332" spans="1:23" ht="68.25" customHeight="1" x14ac:dyDescent="0.2">
      <c r="A332" s="72">
        <v>1176</v>
      </c>
      <c r="B332" s="76">
        <v>31001</v>
      </c>
      <c r="C332" s="1" t="s">
        <v>536</v>
      </c>
      <c r="D332" s="5">
        <f t="shared" ref="D332" si="158">SUM(E332:H332)</f>
        <v>0</v>
      </c>
      <c r="E332" s="6"/>
      <c r="F332" s="6"/>
      <c r="G332" s="6"/>
      <c r="H332" s="7"/>
      <c r="I332" s="5">
        <f t="shared" si="150"/>
        <v>5356</v>
      </c>
      <c r="J332" s="6"/>
      <c r="K332" s="6"/>
      <c r="L332" s="6"/>
      <c r="M332" s="7">
        <v>5356</v>
      </c>
      <c r="N332" s="5">
        <f t="shared" ref="N332" si="159">SUM(O332:R332)</f>
        <v>5356</v>
      </c>
      <c r="O332" s="6"/>
      <c r="P332" s="6"/>
      <c r="Q332" s="6"/>
      <c r="R332" s="7">
        <v>5356</v>
      </c>
      <c r="S332" s="26">
        <f t="shared" si="136"/>
        <v>1</v>
      </c>
      <c r="T332" s="27" t="str">
        <f t="shared" si="137"/>
        <v xml:space="preserve"> </v>
      </c>
      <c r="U332" s="27" t="str">
        <f t="shared" si="138"/>
        <v xml:space="preserve"> </v>
      </c>
      <c r="V332" s="27" t="str">
        <f t="shared" si="139"/>
        <v xml:space="preserve"> </v>
      </c>
      <c r="W332" s="27">
        <f t="shared" si="139"/>
        <v>1</v>
      </c>
    </row>
    <row r="333" spans="1:23" ht="48" customHeight="1" x14ac:dyDescent="0.2">
      <c r="A333" s="72">
        <v>1212</v>
      </c>
      <c r="B333" s="76">
        <v>12025</v>
      </c>
      <c r="C333" s="1" t="s">
        <v>845</v>
      </c>
      <c r="D333" s="5">
        <f>D335</f>
        <v>0</v>
      </c>
      <c r="E333" s="6">
        <f t="shared" ref="E333:H333" si="160">E335</f>
        <v>0</v>
      </c>
      <c r="F333" s="6">
        <f t="shared" si="160"/>
        <v>0</v>
      </c>
      <c r="G333" s="6">
        <f t="shared" si="160"/>
        <v>0</v>
      </c>
      <c r="H333" s="7">
        <f t="shared" si="160"/>
        <v>0</v>
      </c>
      <c r="I333" s="5">
        <f t="shared" si="150"/>
        <v>37161.4</v>
      </c>
      <c r="J333" s="6">
        <f>J335</f>
        <v>37161.4</v>
      </c>
      <c r="K333" s="6">
        <f t="shared" ref="K333:M333" si="161">K335</f>
        <v>0</v>
      </c>
      <c r="L333" s="6">
        <f t="shared" si="161"/>
        <v>0</v>
      </c>
      <c r="M333" s="7">
        <f t="shared" si="161"/>
        <v>0</v>
      </c>
      <c r="N333" s="5">
        <f t="shared" si="140"/>
        <v>20540.939999999999</v>
      </c>
      <c r="O333" s="6">
        <f t="shared" ref="O333:R333" si="162">O335</f>
        <v>20540.939999999999</v>
      </c>
      <c r="P333" s="6">
        <f t="shared" si="162"/>
        <v>0</v>
      </c>
      <c r="Q333" s="6">
        <f t="shared" si="162"/>
        <v>0</v>
      </c>
      <c r="R333" s="7">
        <f t="shared" si="162"/>
        <v>0</v>
      </c>
      <c r="S333" s="26">
        <f t="shared" si="136"/>
        <v>0.55274935820501914</v>
      </c>
      <c r="T333" s="27">
        <f t="shared" si="137"/>
        <v>0.55274935820501914</v>
      </c>
      <c r="U333" s="27" t="str">
        <f t="shared" si="138"/>
        <v xml:space="preserve"> </v>
      </c>
      <c r="V333" s="27" t="str">
        <f t="shared" si="139"/>
        <v xml:space="preserve"> </v>
      </c>
      <c r="W333" s="27" t="str">
        <f t="shared" si="139"/>
        <v xml:space="preserve"> </v>
      </c>
    </row>
    <row r="334" spans="1:23" s="38" customFormat="1" ht="30" customHeight="1" x14ac:dyDescent="0.2">
      <c r="A334" s="72"/>
      <c r="B334" s="76"/>
      <c r="C334" s="1" t="s">
        <v>482</v>
      </c>
      <c r="D334" s="5"/>
      <c r="E334" s="6"/>
      <c r="F334" s="6"/>
      <c r="G334" s="6"/>
      <c r="H334" s="7"/>
      <c r="I334" s="5">
        <f t="shared" ref="I334:I377" si="163">SUM(J334:M334)</f>
        <v>37161.4</v>
      </c>
      <c r="J334" s="6">
        <f>SUM(J335)</f>
        <v>37161.4</v>
      </c>
      <c r="K334" s="6">
        <f t="shared" ref="K334:R334" si="164">SUM(K335)</f>
        <v>0</v>
      </c>
      <c r="L334" s="6">
        <f t="shared" si="164"/>
        <v>0</v>
      </c>
      <c r="M334" s="7">
        <f t="shared" si="164"/>
        <v>0</v>
      </c>
      <c r="N334" s="5">
        <f t="shared" si="140"/>
        <v>20540.939999999999</v>
      </c>
      <c r="O334" s="6">
        <f t="shared" si="164"/>
        <v>20540.939999999999</v>
      </c>
      <c r="P334" s="6">
        <f t="shared" si="164"/>
        <v>0</v>
      </c>
      <c r="Q334" s="6">
        <f t="shared" si="164"/>
        <v>0</v>
      </c>
      <c r="R334" s="7">
        <f t="shared" si="164"/>
        <v>0</v>
      </c>
      <c r="S334" s="26">
        <f t="shared" si="136"/>
        <v>0.55274935820501914</v>
      </c>
      <c r="T334" s="27">
        <f t="shared" si="137"/>
        <v>0.55274935820501914</v>
      </c>
      <c r="U334" s="27" t="str">
        <f t="shared" si="138"/>
        <v xml:space="preserve"> </v>
      </c>
      <c r="V334" s="27" t="str">
        <f t="shared" si="139"/>
        <v xml:space="preserve"> </v>
      </c>
      <c r="W334" s="27" t="str">
        <f t="shared" si="139"/>
        <v xml:space="preserve"> </v>
      </c>
    </row>
    <row r="335" spans="1:23" ht="75.75" customHeight="1" x14ac:dyDescent="0.2">
      <c r="A335" s="74"/>
      <c r="B335" s="75"/>
      <c r="C335" s="4" t="s">
        <v>483</v>
      </c>
      <c r="D335" s="35">
        <f>SUM(D366:D378)</f>
        <v>0</v>
      </c>
      <c r="E335" s="36">
        <f>SUM(E366:E378)</f>
        <v>0</v>
      </c>
      <c r="F335" s="36">
        <f>SUM(F366:F378)</f>
        <v>0</v>
      </c>
      <c r="G335" s="36">
        <f>SUM(G366:G378)</f>
        <v>0</v>
      </c>
      <c r="H335" s="37">
        <f>SUM(H366:H378)</f>
        <v>0</v>
      </c>
      <c r="I335" s="35">
        <f t="shared" si="163"/>
        <v>37161.4</v>
      </c>
      <c r="J335" s="39">
        <v>37161.4</v>
      </c>
      <c r="K335" s="39"/>
      <c r="L335" s="36"/>
      <c r="M335" s="37"/>
      <c r="N335" s="35">
        <f t="shared" si="140"/>
        <v>20540.939999999999</v>
      </c>
      <c r="O335" s="39">
        <v>20540.939999999999</v>
      </c>
      <c r="P335" s="39"/>
      <c r="Q335" s="36"/>
      <c r="R335" s="37"/>
      <c r="S335" s="29">
        <f t="shared" si="136"/>
        <v>0.55274935820501914</v>
      </c>
      <c r="T335" s="30">
        <f t="shared" si="137"/>
        <v>0.55274935820501914</v>
      </c>
      <c r="U335" s="30" t="str">
        <f t="shared" si="138"/>
        <v xml:space="preserve"> </v>
      </c>
      <c r="V335" s="30" t="str">
        <f t="shared" si="139"/>
        <v xml:space="preserve"> </v>
      </c>
      <c r="W335" s="30" t="str">
        <f t="shared" si="139"/>
        <v xml:space="preserve"> </v>
      </c>
    </row>
    <row r="336" spans="1:23" ht="60.75" customHeight="1" x14ac:dyDescent="0.2">
      <c r="A336" s="72">
        <v>1212</v>
      </c>
      <c r="B336" s="76">
        <v>21002</v>
      </c>
      <c r="C336" s="1" t="s">
        <v>535</v>
      </c>
      <c r="D336" s="5">
        <f t="shared" ref="D336" si="165">SUM(E336:H336)</f>
        <v>0</v>
      </c>
      <c r="E336" s="6"/>
      <c r="F336" s="6"/>
      <c r="G336" s="6"/>
      <c r="H336" s="7"/>
      <c r="I336" s="5">
        <f t="shared" si="163"/>
        <v>16281</v>
      </c>
      <c r="J336" s="6">
        <f t="shared" ref="J336:M336" si="166">J338+J339</f>
        <v>0</v>
      </c>
      <c r="K336" s="6">
        <f t="shared" si="166"/>
        <v>0</v>
      </c>
      <c r="L336" s="6">
        <f>L338+L339</f>
        <v>16281</v>
      </c>
      <c r="M336" s="7">
        <f t="shared" si="166"/>
        <v>0</v>
      </c>
      <c r="N336" s="5">
        <f t="shared" si="140"/>
        <v>15968</v>
      </c>
      <c r="O336" s="6">
        <f t="shared" ref="O336:P336" si="167">O338+O339</f>
        <v>0</v>
      </c>
      <c r="P336" s="6">
        <f t="shared" si="167"/>
        <v>0</v>
      </c>
      <c r="Q336" s="6">
        <f>Q338+Q339</f>
        <v>15968</v>
      </c>
      <c r="R336" s="7">
        <f t="shared" ref="R336" si="168">R338+R339</f>
        <v>0</v>
      </c>
      <c r="S336" s="26">
        <f t="shared" si="136"/>
        <v>0.98077513666236715</v>
      </c>
      <c r="T336" s="27" t="str">
        <f t="shared" si="137"/>
        <v xml:space="preserve"> </v>
      </c>
      <c r="U336" s="27" t="str">
        <f t="shared" si="138"/>
        <v xml:space="preserve"> </v>
      </c>
      <c r="V336" s="27">
        <f t="shared" si="139"/>
        <v>0.98077513666236715</v>
      </c>
      <c r="W336" s="27" t="str">
        <f t="shared" si="139"/>
        <v xml:space="preserve"> </v>
      </c>
    </row>
    <row r="337" spans="1:23" s="38" customFormat="1" ht="32.25" customHeight="1" x14ac:dyDescent="0.2">
      <c r="A337" s="72"/>
      <c r="B337" s="76"/>
      <c r="C337" s="1" t="s">
        <v>484</v>
      </c>
      <c r="D337" s="5"/>
      <c r="E337" s="6"/>
      <c r="F337" s="6"/>
      <c r="G337" s="6"/>
      <c r="H337" s="7"/>
      <c r="I337" s="5">
        <f>SUM(J337:M337)</f>
        <v>16281</v>
      </c>
      <c r="J337" s="6">
        <f>J338+J339</f>
        <v>0</v>
      </c>
      <c r="K337" s="6">
        <f t="shared" ref="K337:L337" si="169">K338+K339</f>
        <v>0</v>
      </c>
      <c r="L337" s="6">
        <f t="shared" si="169"/>
        <v>16281</v>
      </c>
      <c r="M337" s="7">
        <f>M338+M339</f>
        <v>0</v>
      </c>
      <c r="N337" s="5">
        <f t="shared" si="140"/>
        <v>15968</v>
      </c>
      <c r="O337" s="6">
        <f t="shared" ref="O337:Q337" si="170">O338+O339</f>
        <v>0</v>
      </c>
      <c r="P337" s="6">
        <f t="shared" si="170"/>
        <v>0</v>
      </c>
      <c r="Q337" s="6">
        <f t="shared" si="170"/>
        <v>15968</v>
      </c>
      <c r="R337" s="7">
        <f>R338+R339</f>
        <v>0</v>
      </c>
      <c r="S337" s="26">
        <f t="shared" si="136"/>
        <v>0.98077513666236715</v>
      </c>
      <c r="T337" s="27" t="str">
        <f t="shared" si="137"/>
        <v xml:space="preserve"> </v>
      </c>
      <c r="U337" s="27" t="str">
        <f t="shared" si="138"/>
        <v xml:space="preserve"> </v>
      </c>
      <c r="V337" s="27">
        <f t="shared" si="139"/>
        <v>0.98077513666236715</v>
      </c>
      <c r="W337" s="27" t="str">
        <f t="shared" si="139"/>
        <v xml:space="preserve"> </v>
      </c>
    </row>
    <row r="338" spans="1:23" ht="132" customHeight="1" x14ac:dyDescent="0.2">
      <c r="A338" s="74"/>
      <c r="B338" s="75"/>
      <c r="C338" s="4" t="s">
        <v>485</v>
      </c>
      <c r="D338" s="35"/>
      <c r="E338" s="36"/>
      <c r="F338" s="36"/>
      <c r="G338" s="39"/>
      <c r="H338" s="37"/>
      <c r="I338" s="35">
        <f t="shared" si="163"/>
        <v>15581</v>
      </c>
      <c r="J338" s="36"/>
      <c r="K338" s="39"/>
      <c r="L338" s="39">
        <v>15581</v>
      </c>
      <c r="M338" s="37"/>
      <c r="N338" s="35">
        <f t="shared" si="140"/>
        <v>15468</v>
      </c>
      <c r="O338" s="36"/>
      <c r="P338" s="39"/>
      <c r="Q338" s="39">
        <v>15468</v>
      </c>
      <c r="R338" s="37"/>
      <c r="S338" s="29">
        <f t="shared" si="136"/>
        <v>0.99274757717733142</v>
      </c>
      <c r="T338" s="30" t="str">
        <f t="shared" si="137"/>
        <v xml:space="preserve"> </v>
      </c>
      <c r="U338" s="30" t="str">
        <f t="shared" si="138"/>
        <v xml:space="preserve"> </v>
      </c>
      <c r="V338" s="30">
        <f t="shared" si="139"/>
        <v>0.99274757717733142</v>
      </c>
      <c r="W338" s="30" t="str">
        <f t="shared" si="139"/>
        <v xml:space="preserve"> </v>
      </c>
    </row>
    <row r="339" spans="1:23" ht="158.25" customHeight="1" x14ac:dyDescent="0.2">
      <c r="A339" s="74"/>
      <c r="B339" s="75"/>
      <c r="C339" s="4" t="s">
        <v>486</v>
      </c>
      <c r="D339" s="35"/>
      <c r="E339" s="36"/>
      <c r="F339" s="36"/>
      <c r="G339" s="39"/>
      <c r="H339" s="37"/>
      <c r="I339" s="35">
        <f t="shared" si="163"/>
        <v>700</v>
      </c>
      <c r="J339" s="36"/>
      <c r="K339" s="39"/>
      <c r="L339" s="39">
        <v>700</v>
      </c>
      <c r="M339" s="37"/>
      <c r="N339" s="35">
        <f t="shared" si="140"/>
        <v>500</v>
      </c>
      <c r="O339" s="36"/>
      <c r="P339" s="39"/>
      <c r="Q339" s="39">
        <v>500</v>
      </c>
      <c r="R339" s="37"/>
      <c r="S339" s="29">
        <f t="shared" si="136"/>
        <v>0.7142857142857143</v>
      </c>
      <c r="T339" s="30" t="str">
        <f t="shared" si="137"/>
        <v xml:space="preserve"> </v>
      </c>
      <c r="U339" s="30" t="str">
        <f t="shared" si="138"/>
        <v xml:space="preserve"> </v>
      </c>
      <c r="V339" s="30">
        <f t="shared" si="139"/>
        <v>0.7142857142857143</v>
      </c>
      <c r="W339" s="30" t="str">
        <f t="shared" si="139"/>
        <v xml:space="preserve"> </v>
      </c>
    </row>
    <row r="340" spans="1:23" ht="62.25" customHeight="1" x14ac:dyDescent="0.2">
      <c r="A340" s="72">
        <v>1212</v>
      </c>
      <c r="B340" s="76">
        <v>32001</v>
      </c>
      <c r="C340" s="1" t="s">
        <v>487</v>
      </c>
      <c r="D340" s="5">
        <f t="shared" ref="D340" si="171">SUM(E340:H340)</f>
        <v>0</v>
      </c>
      <c r="E340" s="6"/>
      <c r="F340" s="6"/>
      <c r="G340" s="6"/>
      <c r="H340" s="7"/>
      <c r="I340" s="5">
        <f>SUM(J340:M340)</f>
        <v>454620</v>
      </c>
      <c r="J340" s="6">
        <f>J341+J344+J364+J368+J371</f>
        <v>176244.80000000002</v>
      </c>
      <c r="K340" s="6" t="s">
        <v>833</v>
      </c>
      <c r="L340" s="6">
        <f t="shared" ref="L340:M340" si="172">L341+L344+L364+L368+L371</f>
        <v>936</v>
      </c>
      <c r="M340" s="7">
        <f t="shared" si="172"/>
        <v>277439.2</v>
      </c>
      <c r="N340" s="5">
        <f t="shared" si="140"/>
        <v>454618.84000000008</v>
      </c>
      <c r="O340" s="6">
        <f>O341+O344+O364+O368+O371</f>
        <v>176243.68000000002</v>
      </c>
      <c r="P340" s="6">
        <f t="shared" ref="P340:R340" si="173">P341+P344+P364+P368+P371</f>
        <v>0</v>
      </c>
      <c r="Q340" s="6">
        <f t="shared" si="173"/>
        <v>936</v>
      </c>
      <c r="R340" s="7">
        <f t="shared" si="173"/>
        <v>277439.16000000003</v>
      </c>
      <c r="S340" s="26">
        <f t="shared" si="136"/>
        <v>0.99999744841845961</v>
      </c>
      <c r="T340" s="27">
        <f t="shared" si="137"/>
        <v>0.99999364520258194</v>
      </c>
      <c r="U340" s="27" t="e">
        <f t="shared" si="138"/>
        <v>#VALUE!</v>
      </c>
      <c r="V340" s="27">
        <f t="shared" si="139"/>
        <v>1</v>
      </c>
      <c r="W340" s="27">
        <f t="shared" si="139"/>
        <v>0.9999998558242672</v>
      </c>
    </row>
    <row r="341" spans="1:23" s="38" customFormat="1" ht="33" customHeight="1" x14ac:dyDescent="0.2">
      <c r="A341" s="72"/>
      <c r="B341" s="76"/>
      <c r="C341" s="1" t="s">
        <v>488</v>
      </c>
      <c r="D341" s="5"/>
      <c r="E341" s="6"/>
      <c r="F341" s="6"/>
      <c r="G341" s="6"/>
      <c r="H341" s="7"/>
      <c r="I341" s="5">
        <f>SUM(J341:M341)</f>
        <v>25990</v>
      </c>
      <c r="J341" s="6">
        <f>J342+J343</f>
        <v>0</v>
      </c>
      <c r="K341" s="6">
        <f t="shared" ref="K341:R341" si="174">K342+K343</f>
        <v>0</v>
      </c>
      <c r="L341" s="6">
        <f t="shared" si="174"/>
        <v>0</v>
      </c>
      <c r="M341" s="7">
        <f t="shared" si="174"/>
        <v>25990</v>
      </c>
      <c r="N341" s="5">
        <f t="shared" si="140"/>
        <v>25990</v>
      </c>
      <c r="O341" s="6">
        <f t="shared" si="174"/>
        <v>0</v>
      </c>
      <c r="P341" s="6">
        <f t="shared" si="174"/>
        <v>0</v>
      </c>
      <c r="Q341" s="6">
        <f t="shared" si="174"/>
        <v>0</v>
      </c>
      <c r="R341" s="7">
        <f t="shared" si="174"/>
        <v>25990</v>
      </c>
      <c r="S341" s="26">
        <f t="shared" si="136"/>
        <v>1</v>
      </c>
      <c r="T341" s="27" t="str">
        <f t="shared" si="137"/>
        <v xml:space="preserve"> </v>
      </c>
      <c r="U341" s="27" t="str">
        <f t="shared" si="138"/>
        <v xml:space="preserve"> </v>
      </c>
      <c r="V341" s="27" t="str">
        <f t="shared" si="139"/>
        <v xml:space="preserve"> </v>
      </c>
      <c r="W341" s="27">
        <f t="shared" si="139"/>
        <v>1</v>
      </c>
    </row>
    <row r="342" spans="1:23" ht="61.5" customHeight="1" x14ac:dyDescent="0.2">
      <c r="A342" s="74"/>
      <c r="B342" s="75"/>
      <c r="C342" s="4" t="s">
        <v>489</v>
      </c>
      <c r="D342" s="35"/>
      <c r="E342" s="36"/>
      <c r="F342" s="36"/>
      <c r="G342" s="36"/>
      <c r="H342" s="37"/>
      <c r="I342" s="35">
        <f t="shared" si="163"/>
        <v>25000</v>
      </c>
      <c r="J342" s="36"/>
      <c r="K342" s="39"/>
      <c r="L342" s="36"/>
      <c r="M342" s="53">
        <v>25000</v>
      </c>
      <c r="N342" s="35">
        <f t="shared" si="140"/>
        <v>25000</v>
      </c>
      <c r="O342" s="36"/>
      <c r="P342" s="39"/>
      <c r="Q342" s="36"/>
      <c r="R342" s="53">
        <v>25000</v>
      </c>
      <c r="S342" s="29">
        <f t="shared" si="136"/>
        <v>1</v>
      </c>
      <c r="T342" s="30" t="str">
        <f t="shared" si="137"/>
        <v xml:space="preserve"> </v>
      </c>
      <c r="U342" s="30" t="str">
        <f t="shared" si="138"/>
        <v xml:space="preserve"> </v>
      </c>
      <c r="V342" s="30" t="str">
        <f t="shared" si="139"/>
        <v xml:space="preserve"> </v>
      </c>
      <c r="W342" s="30">
        <f t="shared" si="139"/>
        <v>1</v>
      </c>
    </row>
    <row r="343" spans="1:23" ht="78.75" customHeight="1" x14ac:dyDescent="0.2">
      <c r="A343" s="74"/>
      <c r="B343" s="75"/>
      <c r="C343" s="4" t="s">
        <v>490</v>
      </c>
      <c r="D343" s="35"/>
      <c r="E343" s="36"/>
      <c r="F343" s="36"/>
      <c r="G343" s="36"/>
      <c r="H343" s="37"/>
      <c r="I343" s="35">
        <f t="shared" si="163"/>
        <v>990</v>
      </c>
      <c r="J343" s="36"/>
      <c r="K343" s="39"/>
      <c r="L343" s="36"/>
      <c r="M343" s="53">
        <v>990</v>
      </c>
      <c r="N343" s="35">
        <f t="shared" si="140"/>
        <v>990</v>
      </c>
      <c r="O343" s="36"/>
      <c r="P343" s="39"/>
      <c r="Q343" s="36"/>
      <c r="R343" s="53">
        <v>990</v>
      </c>
      <c r="S343" s="29">
        <f t="shared" si="136"/>
        <v>1</v>
      </c>
      <c r="T343" s="30" t="str">
        <f t="shared" si="137"/>
        <v xml:space="preserve"> </v>
      </c>
      <c r="U343" s="30" t="str">
        <f t="shared" si="138"/>
        <v xml:space="preserve"> </v>
      </c>
      <c r="V343" s="30" t="str">
        <f t="shared" si="139"/>
        <v xml:space="preserve"> </v>
      </c>
      <c r="W343" s="30">
        <f t="shared" si="139"/>
        <v>1</v>
      </c>
    </row>
    <row r="344" spans="1:23" s="38" customFormat="1" ht="34.5" customHeight="1" x14ac:dyDescent="0.2">
      <c r="A344" s="72"/>
      <c r="B344" s="76"/>
      <c r="C344" s="1" t="s">
        <v>491</v>
      </c>
      <c r="D344" s="5"/>
      <c r="E344" s="6"/>
      <c r="F344" s="6"/>
      <c r="G344" s="6"/>
      <c r="H344" s="7"/>
      <c r="I344" s="5">
        <f>SUM(J344:M344)</f>
        <v>244892.7</v>
      </c>
      <c r="J344" s="6">
        <f>J345+J346</f>
        <v>8000</v>
      </c>
      <c r="K344" s="6">
        <f t="shared" ref="K344:L344" si="175">K345+K346</f>
        <v>0</v>
      </c>
      <c r="L344" s="6">
        <f t="shared" si="175"/>
        <v>0</v>
      </c>
      <c r="M344" s="7">
        <f>M345+M346</f>
        <v>236892.7</v>
      </c>
      <c r="N344" s="5">
        <f t="shared" si="140"/>
        <v>244892.66</v>
      </c>
      <c r="O344" s="6">
        <f>O345+O346</f>
        <v>8000</v>
      </c>
      <c r="P344" s="6">
        <f t="shared" ref="P344:R344" si="176">P345+P346</f>
        <v>0</v>
      </c>
      <c r="Q344" s="6">
        <f t="shared" si="176"/>
        <v>0</v>
      </c>
      <c r="R344" s="7">
        <f t="shared" si="176"/>
        <v>236892.66</v>
      </c>
      <c r="S344" s="26">
        <f t="shared" ref="S344:S406" si="177">IF(I344=0," ",N344/I344)</f>
        <v>0.99999983666315895</v>
      </c>
      <c r="T344" s="27">
        <f t="shared" ref="T344:T406" si="178">IF(J344=0," ",O344/J344)</f>
        <v>1</v>
      </c>
      <c r="U344" s="27" t="str">
        <f t="shared" ref="U344:U406" si="179">IF(K344=0," ",P344/K344)</f>
        <v xml:space="preserve"> </v>
      </c>
      <c r="V344" s="27" t="str">
        <f t="shared" ref="V344:W406" si="180">IF(L344=0," ",Q344/L344)</f>
        <v xml:space="preserve"> </v>
      </c>
      <c r="W344" s="27">
        <f t="shared" si="180"/>
        <v>0.99999983114718183</v>
      </c>
    </row>
    <row r="345" spans="1:23" s="60" customFormat="1" ht="30.75" customHeight="1" x14ac:dyDescent="0.2">
      <c r="A345" s="78"/>
      <c r="B345" s="79"/>
      <c r="C345" s="54" t="s">
        <v>492</v>
      </c>
      <c r="D345" s="55"/>
      <c r="E345" s="56"/>
      <c r="F345" s="56"/>
      <c r="G345" s="56"/>
      <c r="H345" s="57"/>
      <c r="I345" s="55">
        <f t="shared" si="163"/>
        <v>8000</v>
      </c>
      <c r="J345" s="58">
        <v>8000</v>
      </c>
      <c r="K345" s="58"/>
      <c r="L345" s="56"/>
      <c r="M345" s="59"/>
      <c r="N345" s="55">
        <f t="shared" si="140"/>
        <v>8000</v>
      </c>
      <c r="O345" s="58">
        <v>8000</v>
      </c>
      <c r="P345" s="58"/>
      <c r="Q345" s="56"/>
      <c r="R345" s="57"/>
      <c r="S345" s="26">
        <f t="shared" si="177"/>
        <v>1</v>
      </c>
      <c r="T345" s="27">
        <f t="shared" si="178"/>
        <v>1</v>
      </c>
      <c r="U345" s="27" t="str">
        <f t="shared" si="179"/>
        <v xml:space="preserve"> </v>
      </c>
      <c r="V345" s="27" t="str">
        <f t="shared" si="180"/>
        <v xml:space="preserve"> </v>
      </c>
      <c r="W345" s="27" t="str">
        <f t="shared" si="180"/>
        <v xml:space="preserve"> </v>
      </c>
    </row>
    <row r="346" spans="1:23" s="60" customFormat="1" ht="48.75" customHeight="1" x14ac:dyDescent="0.2">
      <c r="A346" s="78"/>
      <c r="B346" s="79"/>
      <c r="C346" s="54" t="s">
        <v>493</v>
      </c>
      <c r="D346" s="55"/>
      <c r="E346" s="56"/>
      <c r="F346" s="56"/>
      <c r="G346" s="56"/>
      <c r="H346" s="57"/>
      <c r="I346" s="55">
        <f t="shared" si="163"/>
        <v>236892.7</v>
      </c>
      <c r="J346" s="58">
        <f t="shared" ref="J346:L346" si="181">SUM(J348:J363)</f>
        <v>0</v>
      </c>
      <c r="K346" s="58">
        <f t="shared" si="181"/>
        <v>0</v>
      </c>
      <c r="L346" s="58">
        <f t="shared" si="181"/>
        <v>0</v>
      </c>
      <c r="M346" s="59">
        <f>SUM(M348:M363)</f>
        <v>236892.7</v>
      </c>
      <c r="N346" s="55">
        <f t="shared" si="140"/>
        <v>236892.66</v>
      </c>
      <c r="O346" s="58">
        <f t="shared" ref="O346:Q346" si="182">SUM(O348:O363)</f>
        <v>0</v>
      </c>
      <c r="P346" s="58">
        <f t="shared" si="182"/>
        <v>0</v>
      </c>
      <c r="Q346" s="58">
        <f t="shared" si="182"/>
        <v>0</v>
      </c>
      <c r="R346" s="59">
        <f>SUM(R348:R363)</f>
        <v>236892.66</v>
      </c>
      <c r="S346" s="26">
        <f t="shared" si="177"/>
        <v>0.99999983114718183</v>
      </c>
      <c r="T346" s="27" t="str">
        <f t="shared" si="178"/>
        <v xml:space="preserve"> </v>
      </c>
      <c r="U346" s="27" t="str">
        <f t="shared" si="179"/>
        <v xml:space="preserve"> </v>
      </c>
      <c r="V346" s="27" t="str">
        <f t="shared" si="180"/>
        <v xml:space="preserve"> </v>
      </c>
      <c r="W346" s="27">
        <f t="shared" si="180"/>
        <v>0.99999983114718183</v>
      </c>
    </row>
    <row r="347" spans="1:23" ht="26.25" customHeight="1" x14ac:dyDescent="0.2">
      <c r="A347" s="74"/>
      <c r="B347" s="75"/>
      <c r="C347" s="4" t="s">
        <v>494</v>
      </c>
      <c r="D347" s="35"/>
      <c r="E347" s="36"/>
      <c r="F347" s="36"/>
      <c r="G347" s="36"/>
      <c r="H347" s="37"/>
      <c r="I347" s="35"/>
      <c r="J347" s="39"/>
      <c r="K347" s="39"/>
      <c r="L347" s="39"/>
      <c r="M347" s="37"/>
      <c r="N347" s="35"/>
      <c r="O347" s="36"/>
      <c r="P347" s="36"/>
      <c r="Q347" s="36"/>
      <c r="R347" s="37"/>
      <c r="S347" s="29" t="str">
        <f t="shared" si="177"/>
        <v xml:space="preserve"> </v>
      </c>
      <c r="T347" s="30" t="str">
        <f t="shared" si="178"/>
        <v xml:space="preserve"> </v>
      </c>
      <c r="U347" s="30" t="str">
        <f t="shared" si="179"/>
        <v xml:space="preserve"> </v>
      </c>
      <c r="V347" s="30" t="str">
        <f t="shared" si="180"/>
        <v xml:space="preserve"> </v>
      </c>
      <c r="W347" s="30" t="str">
        <f t="shared" si="180"/>
        <v xml:space="preserve"> </v>
      </c>
    </row>
    <row r="348" spans="1:23" ht="60" customHeight="1" x14ac:dyDescent="0.2">
      <c r="A348" s="74"/>
      <c r="B348" s="75"/>
      <c r="C348" s="4" t="s">
        <v>495</v>
      </c>
      <c r="D348" s="35"/>
      <c r="E348" s="36"/>
      <c r="F348" s="36"/>
      <c r="G348" s="36"/>
      <c r="H348" s="37"/>
      <c r="I348" s="35">
        <f t="shared" si="163"/>
        <v>1330</v>
      </c>
      <c r="J348" s="39"/>
      <c r="K348" s="39"/>
      <c r="L348" s="39"/>
      <c r="M348" s="37">
        <v>1330</v>
      </c>
      <c r="N348" s="35">
        <f t="shared" si="140"/>
        <v>1330</v>
      </c>
      <c r="O348" s="36"/>
      <c r="P348" s="36"/>
      <c r="Q348" s="36"/>
      <c r="R348" s="37">
        <v>1330</v>
      </c>
      <c r="S348" s="29">
        <f t="shared" si="177"/>
        <v>1</v>
      </c>
      <c r="T348" s="30" t="str">
        <f t="shared" si="178"/>
        <v xml:space="preserve"> </v>
      </c>
      <c r="U348" s="30" t="str">
        <f t="shared" si="179"/>
        <v xml:space="preserve"> </v>
      </c>
      <c r="V348" s="30" t="str">
        <f t="shared" si="180"/>
        <v xml:space="preserve"> </v>
      </c>
      <c r="W348" s="30">
        <f t="shared" si="180"/>
        <v>1</v>
      </c>
    </row>
    <row r="349" spans="1:23" ht="66" x14ac:dyDescent="0.2">
      <c r="A349" s="74"/>
      <c r="B349" s="75"/>
      <c r="C349" s="4" t="s">
        <v>496</v>
      </c>
      <c r="D349" s="35"/>
      <c r="E349" s="36"/>
      <c r="F349" s="36"/>
      <c r="G349" s="36"/>
      <c r="H349" s="37"/>
      <c r="I349" s="35">
        <f t="shared" si="163"/>
        <v>5900</v>
      </c>
      <c r="J349" s="36"/>
      <c r="K349" s="36"/>
      <c r="L349" s="36"/>
      <c r="M349" s="37">
        <v>5900</v>
      </c>
      <c r="N349" s="35">
        <f t="shared" si="140"/>
        <v>5900</v>
      </c>
      <c r="O349" s="36"/>
      <c r="P349" s="36"/>
      <c r="Q349" s="36"/>
      <c r="R349" s="37">
        <v>5900</v>
      </c>
      <c r="S349" s="29">
        <f t="shared" si="177"/>
        <v>1</v>
      </c>
      <c r="T349" s="30" t="str">
        <f t="shared" si="178"/>
        <v xml:space="preserve"> </v>
      </c>
      <c r="U349" s="30" t="str">
        <f t="shared" si="179"/>
        <v xml:space="preserve"> </v>
      </c>
      <c r="V349" s="30" t="str">
        <f t="shared" si="180"/>
        <v xml:space="preserve"> </v>
      </c>
      <c r="W349" s="30">
        <f t="shared" si="180"/>
        <v>1</v>
      </c>
    </row>
    <row r="350" spans="1:23" ht="45.75" customHeight="1" x14ac:dyDescent="0.2">
      <c r="A350" s="74"/>
      <c r="B350" s="75"/>
      <c r="C350" s="4" t="s">
        <v>497</v>
      </c>
      <c r="D350" s="35"/>
      <c r="E350" s="36"/>
      <c r="F350" s="36"/>
      <c r="G350" s="36"/>
      <c r="H350" s="37"/>
      <c r="I350" s="35">
        <f t="shared" si="163"/>
        <v>21000</v>
      </c>
      <c r="J350" s="36"/>
      <c r="K350" s="36"/>
      <c r="L350" s="36"/>
      <c r="M350" s="37">
        <v>21000</v>
      </c>
      <c r="N350" s="35">
        <f t="shared" si="140"/>
        <v>21000</v>
      </c>
      <c r="O350" s="36"/>
      <c r="P350" s="39"/>
      <c r="Q350" s="36"/>
      <c r="R350" s="37">
        <v>21000</v>
      </c>
      <c r="S350" s="29">
        <f t="shared" si="177"/>
        <v>1</v>
      </c>
      <c r="T350" s="30" t="str">
        <f t="shared" si="178"/>
        <v xml:space="preserve"> </v>
      </c>
      <c r="U350" s="30" t="str">
        <f t="shared" si="179"/>
        <v xml:space="preserve"> </v>
      </c>
      <c r="V350" s="30" t="str">
        <f t="shared" si="180"/>
        <v xml:space="preserve"> </v>
      </c>
      <c r="W350" s="30">
        <f t="shared" si="180"/>
        <v>1</v>
      </c>
    </row>
    <row r="351" spans="1:23" ht="66" x14ac:dyDescent="0.2">
      <c r="A351" s="74"/>
      <c r="B351" s="75"/>
      <c r="C351" s="4" t="s">
        <v>498</v>
      </c>
      <c r="D351" s="35"/>
      <c r="E351" s="36"/>
      <c r="F351" s="36"/>
      <c r="G351" s="36"/>
      <c r="H351" s="37"/>
      <c r="I351" s="35">
        <f t="shared" si="163"/>
        <v>20000</v>
      </c>
      <c r="J351" s="36"/>
      <c r="K351" s="36"/>
      <c r="L351" s="36"/>
      <c r="M351" s="37">
        <v>20000</v>
      </c>
      <c r="N351" s="35">
        <f t="shared" ref="N351:N377" si="183">SUM(O351:R351)</f>
        <v>20000</v>
      </c>
      <c r="O351" s="36"/>
      <c r="P351" s="39"/>
      <c r="Q351" s="36"/>
      <c r="R351" s="37">
        <v>20000</v>
      </c>
      <c r="S351" s="29">
        <f t="shared" si="177"/>
        <v>1</v>
      </c>
      <c r="T351" s="30" t="str">
        <f t="shared" si="178"/>
        <v xml:space="preserve"> </v>
      </c>
      <c r="U351" s="30" t="str">
        <f t="shared" si="179"/>
        <v xml:space="preserve"> </v>
      </c>
      <c r="V351" s="30" t="str">
        <f t="shared" si="180"/>
        <v xml:space="preserve"> </v>
      </c>
      <c r="W351" s="30">
        <f t="shared" si="180"/>
        <v>1</v>
      </c>
    </row>
    <row r="352" spans="1:23" ht="48" customHeight="1" x14ac:dyDescent="0.2">
      <c r="A352" s="74"/>
      <c r="B352" s="75"/>
      <c r="C352" s="4" t="s">
        <v>499</v>
      </c>
      <c r="D352" s="35"/>
      <c r="E352" s="36"/>
      <c r="F352" s="36"/>
      <c r="G352" s="36"/>
      <c r="H352" s="37"/>
      <c r="I352" s="35">
        <f t="shared" si="163"/>
        <v>18000</v>
      </c>
      <c r="J352" s="36"/>
      <c r="K352" s="36"/>
      <c r="L352" s="36"/>
      <c r="M352" s="37">
        <v>18000</v>
      </c>
      <c r="N352" s="35">
        <f t="shared" si="183"/>
        <v>18000</v>
      </c>
      <c r="O352" s="36"/>
      <c r="P352" s="39"/>
      <c r="Q352" s="36"/>
      <c r="R352" s="37">
        <v>18000</v>
      </c>
      <c r="S352" s="29">
        <f t="shared" si="177"/>
        <v>1</v>
      </c>
      <c r="T352" s="30" t="str">
        <f t="shared" si="178"/>
        <v xml:space="preserve"> </v>
      </c>
      <c r="U352" s="30" t="str">
        <f t="shared" si="179"/>
        <v xml:space="preserve"> </v>
      </c>
      <c r="V352" s="30" t="str">
        <f t="shared" si="180"/>
        <v xml:space="preserve"> </v>
      </c>
      <c r="W352" s="30">
        <f t="shared" si="180"/>
        <v>1</v>
      </c>
    </row>
    <row r="353" spans="1:23" ht="66" x14ac:dyDescent="0.2">
      <c r="A353" s="74"/>
      <c r="B353" s="75"/>
      <c r="C353" s="4" t="s">
        <v>500</v>
      </c>
      <c r="D353" s="35"/>
      <c r="E353" s="36"/>
      <c r="F353" s="36"/>
      <c r="G353" s="36"/>
      <c r="H353" s="37"/>
      <c r="I353" s="35">
        <f t="shared" si="163"/>
        <v>1195</v>
      </c>
      <c r="J353" s="36"/>
      <c r="K353" s="36"/>
      <c r="L353" s="36"/>
      <c r="M353" s="37">
        <v>1195</v>
      </c>
      <c r="N353" s="35">
        <f t="shared" si="183"/>
        <v>1195</v>
      </c>
      <c r="O353" s="36"/>
      <c r="P353" s="39"/>
      <c r="Q353" s="36"/>
      <c r="R353" s="37">
        <v>1195</v>
      </c>
      <c r="S353" s="29">
        <f t="shared" si="177"/>
        <v>1</v>
      </c>
      <c r="T353" s="30" t="str">
        <f t="shared" si="178"/>
        <v xml:space="preserve"> </v>
      </c>
      <c r="U353" s="30" t="str">
        <f t="shared" si="179"/>
        <v xml:space="preserve"> </v>
      </c>
      <c r="V353" s="30" t="str">
        <f t="shared" si="180"/>
        <v xml:space="preserve"> </v>
      </c>
      <c r="W353" s="30">
        <f t="shared" si="180"/>
        <v>1</v>
      </c>
    </row>
    <row r="354" spans="1:23" ht="68.25" customHeight="1" x14ac:dyDescent="0.2">
      <c r="A354" s="74"/>
      <c r="B354" s="75"/>
      <c r="C354" s="4" t="s">
        <v>501</v>
      </c>
      <c r="D354" s="35"/>
      <c r="E354" s="36"/>
      <c r="F354" s="36"/>
      <c r="G354" s="36"/>
      <c r="H354" s="37"/>
      <c r="I354" s="35">
        <f t="shared" si="163"/>
        <v>7000</v>
      </c>
      <c r="J354" s="36"/>
      <c r="K354" s="36"/>
      <c r="L354" s="36"/>
      <c r="M354" s="37">
        <v>7000</v>
      </c>
      <c r="N354" s="35">
        <f t="shared" si="183"/>
        <v>7000</v>
      </c>
      <c r="O354" s="36"/>
      <c r="P354" s="39"/>
      <c r="Q354" s="36"/>
      <c r="R354" s="37">
        <v>7000</v>
      </c>
      <c r="S354" s="29">
        <f t="shared" si="177"/>
        <v>1</v>
      </c>
      <c r="T354" s="30" t="str">
        <f t="shared" si="178"/>
        <v xml:space="preserve"> </v>
      </c>
      <c r="U354" s="30" t="str">
        <f t="shared" si="179"/>
        <v xml:space="preserve"> </v>
      </c>
      <c r="V354" s="30" t="str">
        <f t="shared" si="180"/>
        <v xml:space="preserve"> </v>
      </c>
      <c r="W354" s="30">
        <f t="shared" si="180"/>
        <v>1</v>
      </c>
    </row>
    <row r="355" spans="1:23" ht="96" customHeight="1" x14ac:dyDescent="0.2">
      <c r="A355" s="74"/>
      <c r="B355" s="75"/>
      <c r="C355" s="4" t="s">
        <v>502</v>
      </c>
      <c r="D355" s="35"/>
      <c r="E355" s="36"/>
      <c r="F355" s="36"/>
      <c r="G355" s="36"/>
      <c r="H355" s="37"/>
      <c r="I355" s="35">
        <f t="shared" si="163"/>
        <v>30000</v>
      </c>
      <c r="J355" s="36"/>
      <c r="K355" s="36"/>
      <c r="L355" s="36"/>
      <c r="M355" s="37">
        <v>30000</v>
      </c>
      <c r="N355" s="35">
        <f t="shared" si="183"/>
        <v>30000</v>
      </c>
      <c r="O355" s="36"/>
      <c r="P355" s="39"/>
      <c r="Q355" s="36"/>
      <c r="R355" s="37">
        <v>30000</v>
      </c>
      <c r="S355" s="29">
        <f t="shared" si="177"/>
        <v>1</v>
      </c>
      <c r="T355" s="30" t="str">
        <f t="shared" si="178"/>
        <v xml:space="preserve"> </v>
      </c>
      <c r="U355" s="30" t="str">
        <f t="shared" si="179"/>
        <v xml:space="preserve"> </v>
      </c>
      <c r="V355" s="30" t="str">
        <f t="shared" si="180"/>
        <v xml:space="preserve"> </v>
      </c>
      <c r="W355" s="30">
        <f t="shared" si="180"/>
        <v>1</v>
      </c>
    </row>
    <row r="356" spans="1:23" ht="66" x14ac:dyDescent="0.2">
      <c r="A356" s="74"/>
      <c r="B356" s="75"/>
      <c r="C356" s="4" t="s">
        <v>503</v>
      </c>
      <c r="D356" s="35"/>
      <c r="E356" s="36"/>
      <c r="F356" s="36"/>
      <c r="G356" s="36"/>
      <c r="H356" s="37"/>
      <c r="I356" s="35">
        <f t="shared" si="163"/>
        <v>14000</v>
      </c>
      <c r="J356" s="36"/>
      <c r="K356" s="36"/>
      <c r="L356" s="36"/>
      <c r="M356" s="37">
        <v>14000</v>
      </c>
      <c r="N356" s="35">
        <f t="shared" si="183"/>
        <v>14000</v>
      </c>
      <c r="O356" s="36"/>
      <c r="P356" s="39"/>
      <c r="Q356" s="36"/>
      <c r="R356" s="37">
        <v>14000</v>
      </c>
      <c r="S356" s="29">
        <f t="shared" si="177"/>
        <v>1</v>
      </c>
      <c r="T356" s="30" t="str">
        <f t="shared" si="178"/>
        <v xml:space="preserve"> </v>
      </c>
      <c r="U356" s="30" t="str">
        <f t="shared" si="179"/>
        <v xml:space="preserve"> </v>
      </c>
      <c r="V356" s="30" t="str">
        <f t="shared" si="180"/>
        <v xml:space="preserve"> </v>
      </c>
      <c r="W356" s="30">
        <f t="shared" si="180"/>
        <v>1</v>
      </c>
    </row>
    <row r="357" spans="1:23" ht="93" customHeight="1" x14ac:dyDescent="0.2">
      <c r="A357" s="74"/>
      <c r="B357" s="75"/>
      <c r="C357" s="4" t="s">
        <v>504</v>
      </c>
      <c r="D357" s="35"/>
      <c r="E357" s="36"/>
      <c r="F357" s="36"/>
      <c r="G357" s="36"/>
      <c r="H357" s="37"/>
      <c r="I357" s="35">
        <f t="shared" si="163"/>
        <v>90000</v>
      </c>
      <c r="J357" s="36"/>
      <c r="K357" s="36"/>
      <c r="L357" s="36"/>
      <c r="M357" s="37">
        <v>90000</v>
      </c>
      <c r="N357" s="35">
        <f t="shared" si="183"/>
        <v>90000</v>
      </c>
      <c r="O357" s="36"/>
      <c r="P357" s="39"/>
      <c r="Q357" s="36"/>
      <c r="R357" s="37">
        <v>90000</v>
      </c>
      <c r="S357" s="29">
        <f t="shared" si="177"/>
        <v>1</v>
      </c>
      <c r="T357" s="30" t="str">
        <f t="shared" si="178"/>
        <v xml:space="preserve"> </v>
      </c>
      <c r="U357" s="30" t="str">
        <f t="shared" si="179"/>
        <v xml:space="preserve"> </v>
      </c>
      <c r="V357" s="30" t="str">
        <f t="shared" si="180"/>
        <v xml:space="preserve"> </v>
      </c>
      <c r="W357" s="30">
        <f t="shared" si="180"/>
        <v>1</v>
      </c>
    </row>
    <row r="358" spans="1:23" ht="65.25" customHeight="1" x14ac:dyDescent="0.2">
      <c r="A358" s="74"/>
      <c r="B358" s="75"/>
      <c r="C358" s="4" t="s">
        <v>505</v>
      </c>
      <c r="D358" s="35"/>
      <c r="E358" s="36"/>
      <c r="F358" s="36"/>
      <c r="G358" s="36"/>
      <c r="H358" s="37"/>
      <c r="I358" s="35">
        <f t="shared" si="163"/>
        <v>25200</v>
      </c>
      <c r="J358" s="36"/>
      <c r="K358" s="36"/>
      <c r="L358" s="36"/>
      <c r="M358" s="37">
        <v>25200</v>
      </c>
      <c r="N358" s="35">
        <f t="shared" si="183"/>
        <v>25200</v>
      </c>
      <c r="O358" s="36"/>
      <c r="P358" s="39"/>
      <c r="Q358" s="36"/>
      <c r="R358" s="37">
        <v>25200</v>
      </c>
      <c r="S358" s="29">
        <f t="shared" si="177"/>
        <v>1</v>
      </c>
      <c r="T358" s="30" t="str">
        <f t="shared" si="178"/>
        <v xml:space="preserve"> </v>
      </c>
      <c r="U358" s="30" t="str">
        <f t="shared" si="179"/>
        <v xml:space="preserve"> </v>
      </c>
      <c r="V358" s="30" t="str">
        <f t="shared" si="180"/>
        <v xml:space="preserve"> </v>
      </c>
      <c r="W358" s="30">
        <f t="shared" si="180"/>
        <v>1</v>
      </c>
    </row>
    <row r="359" spans="1:23" ht="66" x14ac:dyDescent="0.2">
      <c r="A359" s="74"/>
      <c r="B359" s="75"/>
      <c r="C359" s="4" t="s">
        <v>506</v>
      </c>
      <c r="D359" s="35"/>
      <c r="E359" s="36"/>
      <c r="F359" s="36"/>
      <c r="G359" s="36"/>
      <c r="H359" s="37"/>
      <c r="I359" s="35">
        <f t="shared" si="163"/>
        <v>600</v>
      </c>
      <c r="J359" s="36"/>
      <c r="K359" s="36"/>
      <c r="L359" s="36"/>
      <c r="M359" s="37">
        <v>600</v>
      </c>
      <c r="N359" s="35">
        <f t="shared" si="183"/>
        <v>600</v>
      </c>
      <c r="O359" s="36"/>
      <c r="P359" s="39"/>
      <c r="Q359" s="36"/>
      <c r="R359" s="37">
        <v>600</v>
      </c>
      <c r="S359" s="29">
        <f t="shared" si="177"/>
        <v>1</v>
      </c>
      <c r="T359" s="30" t="str">
        <f t="shared" si="178"/>
        <v xml:space="preserve"> </v>
      </c>
      <c r="U359" s="30" t="str">
        <f t="shared" si="179"/>
        <v xml:space="preserve"> </v>
      </c>
      <c r="V359" s="30" t="str">
        <f t="shared" si="180"/>
        <v xml:space="preserve"> </v>
      </c>
      <c r="W359" s="30">
        <f t="shared" si="180"/>
        <v>1</v>
      </c>
    </row>
    <row r="360" spans="1:23" ht="66" customHeight="1" x14ac:dyDescent="0.2">
      <c r="A360" s="74"/>
      <c r="B360" s="75"/>
      <c r="C360" s="4" t="s">
        <v>507</v>
      </c>
      <c r="D360" s="35"/>
      <c r="E360" s="36"/>
      <c r="F360" s="36"/>
      <c r="G360" s="36"/>
      <c r="H360" s="37"/>
      <c r="I360" s="35">
        <f t="shared" si="163"/>
        <v>480</v>
      </c>
      <c r="J360" s="36"/>
      <c r="K360" s="36"/>
      <c r="L360" s="36"/>
      <c r="M360" s="37">
        <v>480</v>
      </c>
      <c r="N360" s="35">
        <f t="shared" si="183"/>
        <v>480</v>
      </c>
      <c r="O360" s="36"/>
      <c r="P360" s="39"/>
      <c r="Q360" s="36"/>
      <c r="R360" s="37">
        <v>480</v>
      </c>
      <c r="S360" s="29">
        <f t="shared" si="177"/>
        <v>1</v>
      </c>
      <c r="T360" s="30" t="str">
        <f t="shared" si="178"/>
        <v xml:space="preserve"> </v>
      </c>
      <c r="U360" s="30" t="str">
        <f t="shared" si="179"/>
        <v xml:space="preserve"> </v>
      </c>
      <c r="V360" s="30" t="str">
        <f t="shared" si="180"/>
        <v xml:space="preserve"> </v>
      </c>
      <c r="W360" s="30">
        <f t="shared" si="180"/>
        <v>1</v>
      </c>
    </row>
    <row r="361" spans="1:23" ht="339" customHeight="1" x14ac:dyDescent="0.2">
      <c r="A361" s="74"/>
      <c r="B361" s="75"/>
      <c r="C361" s="4" t="s">
        <v>508</v>
      </c>
      <c r="D361" s="35"/>
      <c r="E361" s="36"/>
      <c r="F361" s="36"/>
      <c r="G361" s="36"/>
      <c r="H361" s="37"/>
      <c r="I361" s="35">
        <f t="shared" si="163"/>
        <v>566.70000000000005</v>
      </c>
      <c r="J361" s="36"/>
      <c r="K361" s="36"/>
      <c r="L361" s="36"/>
      <c r="M361" s="37">
        <v>566.70000000000005</v>
      </c>
      <c r="N361" s="35">
        <f t="shared" si="183"/>
        <v>566.66</v>
      </c>
      <c r="O361" s="36"/>
      <c r="P361" s="39"/>
      <c r="Q361" s="36"/>
      <c r="R361" s="37">
        <v>566.66</v>
      </c>
      <c r="S361" s="29">
        <f t="shared" si="177"/>
        <v>0.9999294159167107</v>
      </c>
      <c r="T361" s="30" t="str">
        <f t="shared" si="178"/>
        <v xml:space="preserve"> </v>
      </c>
      <c r="U361" s="30" t="str">
        <f t="shared" si="179"/>
        <v xml:space="preserve"> </v>
      </c>
      <c r="V361" s="30" t="str">
        <f t="shared" si="180"/>
        <v xml:space="preserve"> </v>
      </c>
      <c r="W361" s="30">
        <f t="shared" si="180"/>
        <v>0.9999294159167107</v>
      </c>
    </row>
    <row r="362" spans="1:23" ht="321.75" customHeight="1" x14ac:dyDescent="0.2">
      <c r="A362" s="74"/>
      <c r="B362" s="75"/>
      <c r="C362" s="4" t="s">
        <v>509</v>
      </c>
      <c r="D362" s="35"/>
      <c r="E362" s="36"/>
      <c r="F362" s="36"/>
      <c r="G362" s="36"/>
      <c r="H362" s="37"/>
      <c r="I362" s="35">
        <f t="shared" si="163"/>
        <v>1045</v>
      </c>
      <c r="J362" s="36"/>
      <c r="K362" s="36"/>
      <c r="L362" s="36"/>
      <c r="M362" s="37">
        <v>1045</v>
      </c>
      <c r="N362" s="35">
        <f t="shared" si="183"/>
        <v>1045</v>
      </c>
      <c r="O362" s="36"/>
      <c r="P362" s="39"/>
      <c r="Q362" s="36"/>
      <c r="R362" s="37">
        <v>1045</v>
      </c>
      <c r="S362" s="29">
        <f t="shared" si="177"/>
        <v>1</v>
      </c>
      <c r="T362" s="30" t="str">
        <f t="shared" si="178"/>
        <v xml:space="preserve"> </v>
      </c>
      <c r="U362" s="30" t="str">
        <f t="shared" si="179"/>
        <v xml:space="preserve"> </v>
      </c>
      <c r="V362" s="30" t="str">
        <f t="shared" si="180"/>
        <v xml:space="preserve"> </v>
      </c>
      <c r="W362" s="30">
        <f t="shared" si="180"/>
        <v>1</v>
      </c>
    </row>
    <row r="363" spans="1:23" ht="158.25" customHeight="1" x14ac:dyDescent="0.2">
      <c r="A363" s="74"/>
      <c r="B363" s="75"/>
      <c r="C363" s="4" t="s">
        <v>510</v>
      </c>
      <c r="D363" s="35"/>
      <c r="E363" s="36"/>
      <c r="F363" s="36"/>
      <c r="G363" s="36"/>
      <c r="H363" s="37"/>
      <c r="I363" s="35">
        <f t="shared" si="163"/>
        <v>576</v>
      </c>
      <c r="J363" s="36"/>
      <c r="K363" s="36"/>
      <c r="L363" s="36"/>
      <c r="M363" s="37">
        <v>576</v>
      </c>
      <c r="N363" s="35">
        <f t="shared" si="183"/>
        <v>576</v>
      </c>
      <c r="O363" s="36"/>
      <c r="P363" s="39"/>
      <c r="Q363" s="36"/>
      <c r="R363" s="37">
        <v>576</v>
      </c>
      <c r="S363" s="29">
        <f t="shared" si="177"/>
        <v>1</v>
      </c>
      <c r="T363" s="30" t="str">
        <f t="shared" si="178"/>
        <v xml:space="preserve"> </v>
      </c>
      <c r="U363" s="30" t="str">
        <f t="shared" si="179"/>
        <v xml:space="preserve"> </v>
      </c>
      <c r="V363" s="30" t="str">
        <f t="shared" si="180"/>
        <v xml:space="preserve"> </v>
      </c>
      <c r="W363" s="30">
        <f t="shared" si="180"/>
        <v>1</v>
      </c>
    </row>
    <row r="364" spans="1:23" s="38" customFormat="1" ht="34.5" customHeight="1" x14ac:dyDescent="0.2">
      <c r="A364" s="72"/>
      <c r="B364" s="76"/>
      <c r="C364" s="1" t="s">
        <v>511</v>
      </c>
      <c r="D364" s="5"/>
      <c r="E364" s="6"/>
      <c r="F364" s="6"/>
      <c r="G364" s="6"/>
      <c r="H364" s="7"/>
      <c r="I364" s="5">
        <f t="shared" si="163"/>
        <v>134484.80000000002</v>
      </c>
      <c r="J364" s="6">
        <f>J365+J366+J367</f>
        <v>134484.80000000002</v>
      </c>
      <c r="K364" s="6">
        <f>K365+K366+K367</f>
        <v>0</v>
      </c>
      <c r="L364" s="6">
        <f t="shared" ref="L364:M364" si="184">L365+L366+L367</f>
        <v>0</v>
      </c>
      <c r="M364" s="7">
        <f t="shared" si="184"/>
        <v>0</v>
      </c>
      <c r="N364" s="5">
        <f t="shared" si="183"/>
        <v>134484.23000000001</v>
      </c>
      <c r="O364" s="6">
        <f>O365+O366+O367</f>
        <v>134484.23000000001</v>
      </c>
      <c r="P364" s="6">
        <f>P365+P366+P367</f>
        <v>0</v>
      </c>
      <c r="Q364" s="6">
        <f t="shared" ref="Q364:R364" si="185">Q365+Q366+Q367</f>
        <v>0</v>
      </c>
      <c r="R364" s="7">
        <f t="shared" si="185"/>
        <v>0</v>
      </c>
      <c r="S364" s="26">
        <f t="shared" si="177"/>
        <v>0.99999576160279813</v>
      </c>
      <c r="T364" s="27">
        <f t="shared" si="178"/>
        <v>0.99999576160279813</v>
      </c>
      <c r="U364" s="27" t="str">
        <f t="shared" si="179"/>
        <v xml:space="preserve"> </v>
      </c>
      <c r="V364" s="27" t="str">
        <f t="shared" si="180"/>
        <v xml:space="preserve"> </v>
      </c>
      <c r="W364" s="27" t="str">
        <f t="shared" si="180"/>
        <v xml:space="preserve"> </v>
      </c>
    </row>
    <row r="365" spans="1:23" ht="96" customHeight="1" x14ac:dyDescent="0.2">
      <c r="A365" s="72"/>
      <c r="B365" s="76"/>
      <c r="C365" s="4" t="s">
        <v>512</v>
      </c>
      <c r="D365" s="5"/>
      <c r="E365" s="6"/>
      <c r="F365" s="6"/>
      <c r="G365" s="6"/>
      <c r="H365" s="7"/>
      <c r="I365" s="5">
        <f t="shared" si="163"/>
        <v>10561.3</v>
      </c>
      <c r="J365" s="39">
        <v>10561.3</v>
      </c>
      <c r="K365" s="39"/>
      <c r="L365" s="36"/>
      <c r="M365" s="53"/>
      <c r="N365" s="5">
        <f t="shared" si="183"/>
        <v>10560.73</v>
      </c>
      <c r="O365" s="39">
        <v>10560.73</v>
      </c>
      <c r="P365" s="39"/>
      <c r="Q365" s="6"/>
      <c r="R365" s="53"/>
      <c r="S365" s="29">
        <f t="shared" si="177"/>
        <v>0.99994602937138422</v>
      </c>
      <c r="T365" s="30">
        <f t="shared" si="178"/>
        <v>0.99994602937138422</v>
      </c>
      <c r="U365" s="30" t="str">
        <f t="shared" si="179"/>
        <v xml:space="preserve"> </v>
      </c>
      <c r="V365" s="30" t="str">
        <f t="shared" si="180"/>
        <v xml:space="preserve"> </v>
      </c>
      <c r="W365" s="30" t="str">
        <f t="shared" si="180"/>
        <v xml:space="preserve"> </v>
      </c>
    </row>
    <row r="366" spans="1:23" ht="63" customHeight="1" x14ac:dyDescent="0.2">
      <c r="A366" s="72"/>
      <c r="B366" s="76"/>
      <c r="C366" s="4" t="s">
        <v>513</v>
      </c>
      <c r="D366" s="5"/>
      <c r="E366" s="6"/>
      <c r="F366" s="6"/>
      <c r="G366" s="6"/>
      <c r="H366" s="7"/>
      <c r="I366" s="5">
        <f t="shared" si="163"/>
        <v>92172.3</v>
      </c>
      <c r="J366" s="39">
        <v>92172.3</v>
      </c>
      <c r="K366" s="39"/>
      <c r="L366" s="36"/>
      <c r="M366" s="53"/>
      <c r="N366" s="5">
        <f t="shared" si="183"/>
        <v>92172.3</v>
      </c>
      <c r="O366" s="39">
        <v>92172.3</v>
      </c>
      <c r="P366" s="39"/>
      <c r="Q366" s="6"/>
      <c r="R366" s="53"/>
      <c r="S366" s="29">
        <f t="shared" si="177"/>
        <v>1</v>
      </c>
      <c r="T366" s="30">
        <f t="shared" si="178"/>
        <v>1</v>
      </c>
      <c r="U366" s="30" t="str">
        <f t="shared" si="179"/>
        <v xml:space="preserve"> </v>
      </c>
      <c r="V366" s="30" t="str">
        <f t="shared" si="180"/>
        <v xml:space="preserve"> </v>
      </c>
      <c r="W366" s="30" t="str">
        <f t="shared" si="180"/>
        <v xml:space="preserve"> </v>
      </c>
    </row>
    <row r="367" spans="1:23" ht="81" customHeight="1" x14ac:dyDescent="0.2">
      <c r="A367" s="72"/>
      <c r="B367" s="76"/>
      <c r="C367" s="4" t="s">
        <v>514</v>
      </c>
      <c r="D367" s="5"/>
      <c r="E367" s="6"/>
      <c r="F367" s="6"/>
      <c r="G367" s="6"/>
      <c r="H367" s="7"/>
      <c r="I367" s="5">
        <f t="shared" si="163"/>
        <v>31751.200000000001</v>
      </c>
      <c r="J367" s="39">
        <v>31751.200000000001</v>
      </c>
      <c r="K367" s="39"/>
      <c r="L367" s="36"/>
      <c r="M367" s="53"/>
      <c r="N367" s="5">
        <f t="shared" si="183"/>
        <v>31751.200000000001</v>
      </c>
      <c r="O367" s="39">
        <v>31751.200000000001</v>
      </c>
      <c r="P367" s="39"/>
      <c r="Q367" s="6"/>
      <c r="R367" s="53"/>
      <c r="S367" s="29">
        <f t="shared" si="177"/>
        <v>1</v>
      </c>
      <c r="T367" s="30">
        <f t="shared" si="178"/>
        <v>1</v>
      </c>
      <c r="U367" s="30" t="str">
        <f t="shared" si="179"/>
        <v xml:space="preserve"> </v>
      </c>
      <c r="V367" s="30" t="str">
        <f t="shared" si="180"/>
        <v xml:space="preserve"> </v>
      </c>
      <c r="W367" s="30" t="str">
        <f t="shared" si="180"/>
        <v xml:space="preserve"> </v>
      </c>
    </row>
    <row r="368" spans="1:23" s="38" customFormat="1" ht="25.5" customHeight="1" x14ac:dyDescent="0.2">
      <c r="A368" s="72"/>
      <c r="B368" s="76"/>
      <c r="C368" s="1" t="s">
        <v>515</v>
      </c>
      <c r="D368" s="5"/>
      <c r="E368" s="6"/>
      <c r="F368" s="6"/>
      <c r="G368" s="6"/>
      <c r="H368" s="7"/>
      <c r="I368" s="5">
        <f t="shared" si="163"/>
        <v>28836</v>
      </c>
      <c r="J368" s="6">
        <f>J369+J370</f>
        <v>27900</v>
      </c>
      <c r="K368" s="6">
        <f>K369+K370</f>
        <v>0</v>
      </c>
      <c r="L368" s="6">
        <f t="shared" ref="L368:M368" si="186">L369+L370</f>
        <v>936</v>
      </c>
      <c r="M368" s="7">
        <f t="shared" si="186"/>
        <v>0</v>
      </c>
      <c r="N368" s="5">
        <f t="shared" si="183"/>
        <v>28836</v>
      </c>
      <c r="O368" s="6">
        <f>O369+O370</f>
        <v>27900</v>
      </c>
      <c r="P368" s="6">
        <f>P369+P370</f>
        <v>0</v>
      </c>
      <c r="Q368" s="6">
        <f>Q369+Q370</f>
        <v>936</v>
      </c>
      <c r="R368" s="7">
        <f>R369+R370</f>
        <v>0</v>
      </c>
      <c r="S368" s="26">
        <f t="shared" si="177"/>
        <v>1</v>
      </c>
      <c r="T368" s="27">
        <f t="shared" si="178"/>
        <v>1</v>
      </c>
      <c r="U368" s="27" t="str">
        <f t="shared" si="179"/>
        <v xml:space="preserve"> </v>
      </c>
      <c r="V368" s="27">
        <f t="shared" si="180"/>
        <v>1</v>
      </c>
      <c r="W368" s="27" t="str">
        <f t="shared" si="180"/>
        <v xml:space="preserve"> </v>
      </c>
    </row>
    <row r="369" spans="1:23" ht="60" customHeight="1" x14ac:dyDescent="0.2">
      <c r="A369" s="74"/>
      <c r="B369" s="75"/>
      <c r="C369" s="61" t="s">
        <v>516</v>
      </c>
      <c r="D369" s="35"/>
      <c r="E369" s="36"/>
      <c r="F369" s="36"/>
      <c r="G369" s="36"/>
      <c r="H369" s="37"/>
      <c r="I369" s="35">
        <f t="shared" si="163"/>
        <v>27900</v>
      </c>
      <c r="J369" s="39">
        <v>27900</v>
      </c>
      <c r="K369" s="39"/>
      <c r="L369" s="36"/>
      <c r="M369" s="53"/>
      <c r="N369" s="35">
        <f t="shared" si="183"/>
        <v>27900</v>
      </c>
      <c r="O369" s="39">
        <v>27900</v>
      </c>
      <c r="P369" s="39"/>
      <c r="Q369" s="36"/>
      <c r="R369" s="53"/>
      <c r="S369" s="29">
        <f t="shared" si="177"/>
        <v>1</v>
      </c>
      <c r="T369" s="30">
        <f t="shared" si="178"/>
        <v>1</v>
      </c>
      <c r="U369" s="30" t="str">
        <f t="shared" si="179"/>
        <v xml:space="preserve"> </v>
      </c>
      <c r="V369" s="30" t="str">
        <f t="shared" si="180"/>
        <v xml:space="preserve"> </v>
      </c>
      <c r="W369" s="30" t="str">
        <f t="shared" si="180"/>
        <v xml:space="preserve"> </v>
      </c>
    </row>
    <row r="370" spans="1:23" ht="123" customHeight="1" x14ac:dyDescent="0.2">
      <c r="A370" s="74"/>
      <c r="B370" s="75"/>
      <c r="C370" s="61" t="s">
        <v>517</v>
      </c>
      <c r="D370" s="35"/>
      <c r="E370" s="36"/>
      <c r="F370" s="36"/>
      <c r="G370" s="36"/>
      <c r="H370" s="37"/>
      <c r="I370" s="35">
        <f t="shared" si="163"/>
        <v>936</v>
      </c>
      <c r="J370" s="36"/>
      <c r="K370" s="39"/>
      <c r="L370" s="39">
        <v>936</v>
      </c>
      <c r="M370" s="53"/>
      <c r="N370" s="35">
        <f t="shared" si="183"/>
        <v>936</v>
      </c>
      <c r="O370" s="36"/>
      <c r="P370" s="39"/>
      <c r="Q370" s="39">
        <v>936</v>
      </c>
      <c r="R370" s="53"/>
      <c r="S370" s="29">
        <f t="shared" si="177"/>
        <v>1</v>
      </c>
      <c r="T370" s="30" t="str">
        <f t="shared" si="178"/>
        <v xml:space="preserve"> </v>
      </c>
      <c r="U370" s="30" t="str">
        <f t="shared" si="179"/>
        <v xml:space="preserve"> </v>
      </c>
      <c r="V370" s="30">
        <f t="shared" si="180"/>
        <v>1</v>
      </c>
      <c r="W370" s="30" t="str">
        <f t="shared" si="180"/>
        <v xml:space="preserve"> </v>
      </c>
    </row>
    <row r="371" spans="1:23" s="38" customFormat="1" ht="34.5" customHeight="1" x14ac:dyDescent="0.2">
      <c r="A371" s="72"/>
      <c r="B371" s="76"/>
      <c r="C371" s="1" t="s">
        <v>518</v>
      </c>
      <c r="D371" s="5"/>
      <c r="E371" s="6"/>
      <c r="F371" s="6"/>
      <c r="G371" s="6"/>
      <c r="H371" s="7"/>
      <c r="I371" s="5">
        <f>SUM(J371:M371)</f>
        <v>20416.5</v>
      </c>
      <c r="J371" s="6">
        <f>SUM(J372:J373)</f>
        <v>5860</v>
      </c>
      <c r="K371" s="6">
        <f>SUM(K372:K373)</f>
        <v>0</v>
      </c>
      <c r="L371" s="6">
        <f t="shared" ref="L371:M371" si="187">SUM(L372:L373)</f>
        <v>0</v>
      </c>
      <c r="M371" s="7">
        <f t="shared" si="187"/>
        <v>14556.5</v>
      </c>
      <c r="N371" s="5">
        <f t="shared" si="183"/>
        <v>20415.95</v>
      </c>
      <c r="O371" s="6">
        <f>SUM(O372:O373)</f>
        <v>5859.45</v>
      </c>
      <c r="P371" s="6">
        <f>SUM(P372:P373)</f>
        <v>0</v>
      </c>
      <c r="Q371" s="6">
        <f t="shared" ref="Q371" si="188">SUM(Q372:Q373)</f>
        <v>0</v>
      </c>
      <c r="R371" s="7">
        <f t="shared" ref="R371" si="189">SUM(R372:R373)</f>
        <v>14556.5</v>
      </c>
      <c r="S371" s="26">
        <f t="shared" si="177"/>
        <v>0.99997306100457961</v>
      </c>
      <c r="T371" s="27">
        <f t="shared" si="178"/>
        <v>0.99990614334470984</v>
      </c>
      <c r="U371" s="27" t="str">
        <f t="shared" si="179"/>
        <v xml:space="preserve"> </v>
      </c>
      <c r="V371" s="27" t="str">
        <f t="shared" si="180"/>
        <v xml:space="preserve"> </v>
      </c>
      <c r="W371" s="27">
        <f t="shared" si="180"/>
        <v>1</v>
      </c>
    </row>
    <row r="372" spans="1:23" s="60" customFormat="1" ht="40.5" customHeight="1" x14ac:dyDescent="0.2">
      <c r="A372" s="78"/>
      <c r="B372" s="79"/>
      <c r="C372" s="54" t="s">
        <v>519</v>
      </c>
      <c r="D372" s="55"/>
      <c r="E372" s="56"/>
      <c r="F372" s="56"/>
      <c r="G372" s="56"/>
      <c r="H372" s="57"/>
      <c r="I372" s="55">
        <f t="shared" si="163"/>
        <v>5860</v>
      </c>
      <c r="J372" s="56">
        <v>5860</v>
      </c>
      <c r="K372" s="56"/>
      <c r="L372" s="56"/>
      <c r="M372" s="59"/>
      <c r="N372" s="55">
        <f t="shared" si="183"/>
        <v>5859.45</v>
      </c>
      <c r="O372" s="58">
        <v>5859.45</v>
      </c>
      <c r="P372" s="58"/>
      <c r="Q372" s="56"/>
      <c r="R372" s="59"/>
      <c r="S372" s="26">
        <f t="shared" si="177"/>
        <v>0.99990614334470984</v>
      </c>
      <c r="T372" s="27">
        <f t="shared" si="178"/>
        <v>0.99990614334470984</v>
      </c>
      <c r="U372" s="27" t="str">
        <f t="shared" si="179"/>
        <v xml:space="preserve"> </v>
      </c>
      <c r="V372" s="27" t="str">
        <f t="shared" si="180"/>
        <v xml:space="preserve"> </v>
      </c>
      <c r="W372" s="27" t="str">
        <f t="shared" si="180"/>
        <v xml:space="preserve"> </v>
      </c>
    </row>
    <row r="373" spans="1:23" s="60" customFormat="1" ht="46.5" customHeight="1" x14ac:dyDescent="0.2">
      <c r="A373" s="78"/>
      <c r="B373" s="79"/>
      <c r="C373" s="54" t="s">
        <v>493</v>
      </c>
      <c r="D373" s="55"/>
      <c r="E373" s="56"/>
      <c r="F373" s="56"/>
      <c r="G373" s="56"/>
      <c r="H373" s="57"/>
      <c r="I373" s="55">
        <f>SUM(J373:M373)</f>
        <v>14556.5</v>
      </c>
      <c r="J373" s="56"/>
      <c r="K373" s="56"/>
      <c r="L373" s="56"/>
      <c r="M373" s="57">
        <f>M375+M376+M377</f>
        <v>14556.5</v>
      </c>
      <c r="N373" s="55">
        <f t="shared" si="183"/>
        <v>14556.5</v>
      </c>
      <c r="O373" s="56"/>
      <c r="P373" s="58"/>
      <c r="Q373" s="56"/>
      <c r="R373" s="57">
        <f>R375+R376+R377</f>
        <v>14556.5</v>
      </c>
      <c r="S373" s="26">
        <f t="shared" si="177"/>
        <v>1</v>
      </c>
      <c r="T373" s="27" t="str">
        <f t="shared" si="178"/>
        <v xml:space="preserve"> </v>
      </c>
      <c r="U373" s="27" t="str">
        <f t="shared" si="179"/>
        <v xml:space="preserve"> </v>
      </c>
      <c r="V373" s="27" t="str">
        <f t="shared" si="180"/>
        <v xml:space="preserve"> </v>
      </c>
      <c r="W373" s="27">
        <f t="shared" si="180"/>
        <v>1</v>
      </c>
    </row>
    <row r="374" spans="1:23" ht="30.75" customHeight="1" x14ac:dyDescent="0.2">
      <c r="A374" s="72"/>
      <c r="B374" s="76"/>
      <c r="C374" s="4" t="s">
        <v>494</v>
      </c>
      <c r="D374" s="5"/>
      <c r="E374" s="6"/>
      <c r="F374" s="6"/>
      <c r="G374" s="6"/>
      <c r="H374" s="7"/>
      <c r="I374" s="5"/>
      <c r="J374" s="36"/>
      <c r="K374" s="36"/>
      <c r="L374" s="36"/>
      <c r="M374" s="37"/>
      <c r="N374" s="5"/>
      <c r="O374" s="36"/>
      <c r="P374" s="39"/>
      <c r="Q374" s="6"/>
      <c r="R374" s="37"/>
      <c r="S374" s="29" t="str">
        <f t="shared" si="177"/>
        <v xml:space="preserve"> </v>
      </c>
      <c r="T374" s="30" t="str">
        <f t="shared" si="178"/>
        <v xml:space="preserve"> </v>
      </c>
      <c r="U374" s="30" t="str">
        <f t="shared" si="179"/>
        <v xml:space="preserve"> </v>
      </c>
      <c r="V374" s="30" t="str">
        <f t="shared" si="180"/>
        <v xml:space="preserve"> </v>
      </c>
      <c r="W374" s="30" t="str">
        <f t="shared" si="180"/>
        <v xml:space="preserve"> </v>
      </c>
    </row>
    <row r="375" spans="1:23" ht="82.5" x14ac:dyDescent="0.2">
      <c r="A375" s="74"/>
      <c r="B375" s="75"/>
      <c r="C375" s="4" t="s">
        <v>520</v>
      </c>
      <c r="D375" s="35"/>
      <c r="E375" s="36"/>
      <c r="F375" s="36"/>
      <c r="G375" s="36"/>
      <c r="H375" s="37"/>
      <c r="I375" s="35">
        <f t="shared" si="163"/>
        <v>226.5</v>
      </c>
      <c r="J375" s="36"/>
      <c r="K375" s="36"/>
      <c r="L375" s="36"/>
      <c r="M375" s="37">
        <v>226.5</v>
      </c>
      <c r="N375" s="35">
        <f t="shared" si="183"/>
        <v>226.5</v>
      </c>
      <c r="O375" s="36"/>
      <c r="P375" s="39"/>
      <c r="Q375" s="36"/>
      <c r="R375" s="37">
        <v>226.5</v>
      </c>
      <c r="S375" s="29">
        <f t="shared" si="177"/>
        <v>1</v>
      </c>
      <c r="T375" s="30" t="str">
        <f t="shared" si="178"/>
        <v xml:space="preserve"> </v>
      </c>
      <c r="U375" s="30" t="str">
        <f t="shared" si="179"/>
        <v xml:space="preserve"> </v>
      </c>
      <c r="V375" s="30" t="str">
        <f t="shared" si="180"/>
        <v xml:space="preserve"> </v>
      </c>
      <c r="W375" s="30">
        <f t="shared" si="180"/>
        <v>1</v>
      </c>
    </row>
    <row r="376" spans="1:23" ht="66" x14ac:dyDescent="0.2">
      <c r="A376" s="74"/>
      <c r="B376" s="75"/>
      <c r="C376" s="4" t="s">
        <v>521</v>
      </c>
      <c r="D376" s="35"/>
      <c r="E376" s="36"/>
      <c r="F376" s="36"/>
      <c r="G376" s="36"/>
      <c r="H376" s="37"/>
      <c r="I376" s="35">
        <f t="shared" si="163"/>
        <v>430</v>
      </c>
      <c r="J376" s="36"/>
      <c r="K376" s="36"/>
      <c r="L376" s="36"/>
      <c r="M376" s="37">
        <v>430</v>
      </c>
      <c r="N376" s="35">
        <f t="shared" si="183"/>
        <v>430</v>
      </c>
      <c r="O376" s="36"/>
      <c r="P376" s="39"/>
      <c r="Q376" s="36"/>
      <c r="R376" s="37">
        <v>430</v>
      </c>
      <c r="S376" s="29">
        <f t="shared" si="177"/>
        <v>1</v>
      </c>
      <c r="T376" s="30" t="str">
        <f t="shared" si="178"/>
        <v xml:space="preserve"> </v>
      </c>
      <c r="U376" s="30" t="str">
        <f t="shared" si="179"/>
        <v xml:space="preserve"> </v>
      </c>
      <c r="V376" s="30" t="str">
        <f t="shared" si="180"/>
        <v xml:space="preserve"> </v>
      </c>
      <c r="W376" s="30">
        <f t="shared" si="180"/>
        <v>1</v>
      </c>
    </row>
    <row r="377" spans="1:23" ht="66" x14ac:dyDescent="0.2">
      <c r="A377" s="74"/>
      <c r="B377" s="75"/>
      <c r="C377" s="4" t="s">
        <v>522</v>
      </c>
      <c r="D377" s="35"/>
      <c r="E377" s="36"/>
      <c r="F377" s="36"/>
      <c r="G377" s="36"/>
      <c r="H377" s="37"/>
      <c r="I377" s="35">
        <f t="shared" si="163"/>
        <v>13900</v>
      </c>
      <c r="J377" s="36"/>
      <c r="K377" s="36"/>
      <c r="L377" s="36"/>
      <c r="M377" s="37">
        <v>13900</v>
      </c>
      <c r="N377" s="35">
        <f t="shared" si="183"/>
        <v>13900</v>
      </c>
      <c r="O377" s="36"/>
      <c r="P377" s="39"/>
      <c r="Q377" s="36"/>
      <c r="R377" s="37">
        <v>13900</v>
      </c>
      <c r="S377" s="29">
        <f t="shared" si="177"/>
        <v>1</v>
      </c>
      <c r="T377" s="30" t="str">
        <f t="shared" si="178"/>
        <v xml:space="preserve"> </v>
      </c>
      <c r="U377" s="30" t="str">
        <f t="shared" si="179"/>
        <v xml:space="preserve"> </v>
      </c>
      <c r="V377" s="30" t="str">
        <f t="shared" si="180"/>
        <v xml:space="preserve"> </v>
      </c>
      <c r="W377" s="30">
        <f t="shared" si="180"/>
        <v>1</v>
      </c>
    </row>
    <row r="378" spans="1:23" s="38" customFormat="1" ht="40.5" customHeight="1" x14ac:dyDescent="0.2">
      <c r="A378" s="72"/>
      <c r="B378" s="73"/>
      <c r="C378" s="89" t="s">
        <v>189</v>
      </c>
      <c r="D378" s="5">
        <f>SUM(D380)</f>
        <v>0</v>
      </c>
      <c r="E378" s="6">
        <f t="shared" ref="E378:R378" si="190">SUM(E380)</f>
        <v>0</v>
      </c>
      <c r="F378" s="6">
        <f t="shared" si="190"/>
        <v>0</v>
      </c>
      <c r="G378" s="6">
        <f t="shared" si="190"/>
        <v>0</v>
      </c>
      <c r="H378" s="7">
        <f t="shared" si="190"/>
        <v>0</v>
      </c>
      <c r="I378" s="5">
        <f>SUM(I380)</f>
        <v>2824195.8</v>
      </c>
      <c r="J378" s="6">
        <f t="shared" si="190"/>
        <v>914892.4</v>
      </c>
      <c r="K378" s="6">
        <f t="shared" si="190"/>
        <v>1902703.4</v>
      </c>
      <c r="L378" s="6">
        <f t="shared" si="190"/>
        <v>6600</v>
      </c>
      <c r="M378" s="7">
        <f t="shared" si="190"/>
        <v>0</v>
      </c>
      <c r="N378" s="5">
        <f t="shared" si="190"/>
        <v>2785545.4299999997</v>
      </c>
      <c r="O378" s="6">
        <f t="shared" si="190"/>
        <v>892910.74</v>
      </c>
      <c r="P378" s="6">
        <f>SUM(P380)</f>
        <v>1892634.69</v>
      </c>
      <c r="Q378" s="6">
        <f t="shared" si="190"/>
        <v>0</v>
      </c>
      <c r="R378" s="7">
        <f t="shared" si="190"/>
        <v>0</v>
      </c>
      <c r="S378" s="26">
        <f t="shared" si="177"/>
        <v>0.98631455722722905</v>
      </c>
      <c r="T378" s="27">
        <f t="shared" si="178"/>
        <v>0.97597350245777537</v>
      </c>
      <c r="U378" s="27">
        <f t="shared" si="179"/>
        <v>0.99470820833136686</v>
      </c>
      <c r="V378" s="27">
        <f t="shared" si="180"/>
        <v>0</v>
      </c>
      <c r="W378" s="27" t="str">
        <f t="shared" si="180"/>
        <v xml:space="preserve"> </v>
      </c>
    </row>
    <row r="379" spans="1:23" ht="19.5" customHeight="1" x14ac:dyDescent="0.2">
      <c r="A379" s="74"/>
      <c r="B379" s="75"/>
      <c r="C379" s="4" t="s">
        <v>10</v>
      </c>
      <c r="D379" s="35"/>
      <c r="E379" s="36"/>
      <c r="F379" s="36"/>
      <c r="G379" s="36"/>
      <c r="H379" s="37"/>
      <c r="I379" s="35"/>
      <c r="J379" s="36"/>
      <c r="K379" s="36"/>
      <c r="L379" s="36"/>
      <c r="M379" s="37"/>
      <c r="N379" s="35"/>
      <c r="O379" s="36"/>
      <c r="P379" s="36"/>
      <c r="Q379" s="36"/>
      <c r="R379" s="37"/>
      <c r="S379" s="29" t="str">
        <f t="shared" si="177"/>
        <v xml:space="preserve"> </v>
      </c>
      <c r="T379" s="30" t="str">
        <f t="shared" si="178"/>
        <v xml:space="preserve"> </v>
      </c>
      <c r="U379" s="30" t="str">
        <f t="shared" si="179"/>
        <v xml:space="preserve"> </v>
      </c>
      <c r="V379" s="30" t="str">
        <f t="shared" si="180"/>
        <v xml:space="preserve"> </v>
      </c>
      <c r="W379" s="30" t="str">
        <f t="shared" si="180"/>
        <v xml:space="preserve"> </v>
      </c>
    </row>
    <row r="380" spans="1:23" ht="61.5" customHeight="1" x14ac:dyDescent="0.2">
      <c r="A380" s="72">
        <v>1126</v>
      </c>
      <c r="B380" s="76">
        <v>31003</v>
      </c>
      <c r="C380" s="1" t="s">
        <v>190</v>
      </c>
      <c r="D380" s="5">
        <f>SUM(E380:H380)</f>
        <v>0</v>
      </c>
      <c r="E380" s="6"/>
      <c r="F380" s="6"/>
      <c r="G380" s="6"/>
      <c r="H380" s="7"/>
      <c r="I380" s="5">
        <f>SUM(I381,I384,I388,I390,I392,I394,I396,I398)</f>
        <v>2824195.8</v>
      </c>
      <c r="J380" s="6">
        <f>SUM(J381,J384,J388,J390,J392,J394,J396,J398)</f>
        <v>914892.4</v>
      </c>
      <c r="K380" s="6">
        <f t="shared" ref="K380:M380" si="191">SUM(K381,K384,K388,K390,K392,K394,K396,K398)</f>
        <v>1902703.4</v>
      </c>
      <c r="L380" s="6">
        <f t="shared" si="191"/>
        <v>6600</v>
      </c>
      <c r="M380" s="7">
        <f t="shared" si="191"/>
        <v>0</v>
      </c>
      <c r="N380" s="5">
        <f>SUM(O380:R380)</f>
        <v>2785545.4299999997</v>
      </c>
      <c r="O380" s="6">
        <f>SUM(O381,O384,O388,O390,O392,O394,O396,O398)</f>
        <v>892910.74</v>
      </c>
      <c r="P380" s="6">
        <f>SUM(P381,P384,P388,P390,P392,P394,P396,P398)</f>
        <v>1892634.69</v>
      </c>
      <c r="Q380" s="6">
        <f t="shared" ref="Q380" si="192">SUM(Q381,Q384,Q388,Q390,Q392,Q394,Q396,Q398)</f>
        <v>0</v>
      </c>
      <c r="R380" s="7">
        <f t="shared" ref="R380" si="193">SUM(R381,R384,R388,R390,R392,R394,R396,R398)</f>
        <v>0</v>
      </c>
      <c r="S380" s="29">
        <f t="shared" si="177"/>
        <v>0.98631455722722905</v>
      </c>
      <c r="T380" s="30">
        <f t="shared" si="178"/>
        <v>0.97597350245777537</v>
      </c>
      <c r="U380" s="30">
        <f t="shared" si="179"/>
        <v>0.99470820833136686</v>
      </c>
      <c r="V380" s="30">
        <f t="shared" si="180"/>
        <v>0</v>
      </c>
      <c r="W380" s="30" t="str">
        <f t="shared" si="180"/>
        <v xml:space="preserve"> </v>
      </c>
    </row>
    <row r="381" spans="1:23" s="38" customFormat="1" ht="26.25" customHeight="1" x14ac:dyDescent="0.2">
      <c r="A381" s="72"/>
      <c r="B381" s="76"/>
      <c r="C381" s="1" t="s">
        <v>220</v>
      </c>
      <c r="D381" s="5">
        <f t="shared" ref="D381:H381" si="194">SUM(D382:D383)</f>
        <v>0</v>
      </c>
      <c r="E381" s="6">
        <f t="shared" si="194"/>
        <v>0</v>
      </c>
      <c r="F381" s="6">
        <f t="shared" si="194"/>
        <v>0</v>
      </c>
      <c r="G381" s="6">
        <f t="shared" si="194"/>
        <v>0</v>
      </c>
      <c r="H381" s="7">
        <f t="shared" si="194"/>
        <v>0</v>
      </c>
      <c r="I381" s="5">
        <f>SUM(I382:I383)</f>
        <v>1002052.2999999999</v>
      </c>
      <c r="J381" s="6">
        <f t="shared" ref="J381:M381" si="195">SUM(J382:J383)</f>
        <v>0</v>
      </c>
      <c r="K381" s="6">
        <f t="shared" si="195"/>
        <v>1002052.2999999999</v>
      </c>
      <c r="L381" s="6">
        <f t="shared" si="195"/>
        <v>0</v>
      </c>
      <c r="M381" s="7">
        <f t="shared" si="195"/>
        <v>0</v>
      </c>
      <c r="N381" s="5">
        <f>SUM(N382:N383)</f>
        <v>1000199.75</v>
      </c>
      <c r="O381" s="6">
        <f t="shared" ref="O381" si="196">SUM(O382:O383)</f>
        <v>0</v>
      </c>
      <c r="P381" s="6">
        <f t="shared" ref="P381" si="197">SUM(P382:P383)</f>
        <v>1000199.75</v>
      </c>
      <c r="Q381" s="6">
        <f t="shared" ref="Q381" si="198">SUM(Q382:Q383)</f>
        <v>0</v>
      </c>
      <c r="R381" s="7">
        <f t="shared" ref="R381" si="199">SUM(R382:R383)</f>
        <v>0</v>
      </c>
      <c r="S381" s="26">
        <f t="shared" si="177"/>
        <v>0.99815124420152523</v>
      </c>
      <c r="T381" s="27" t="str">
        <f t="shared" si="178"/>
        <v xml:space="preserve"> </v>
      </c>
      <c r="U381" s="27">
        <f t="shared" si="179"/>
        <v>0.99815124420152523</v>
      </c>
      <c r="V381" s="27" t="str">
        <f t="shared" si="180"/>
        <v xml:space="preserve"> </v>
      </c>
      <c r="W381" s="27" t="str">
        <f t="shared" si="180"/>
        <v xml:space="preserve"> </v>
      </c>
    </row>
    <row r="382" spans="1:23" ht="50.25" customHeight="1" x14ac:dyDescent="0.2">
      <c r="A382" s="74"/>
      <c r="B382" s="75"/>
      <c r="C382" s="4" t="s">
        <v>221</v>
      </c>
      <c r="D382" s="35"/>
      <c r="E382" s="36"/>
      <c r="F382" s="36"/>
      <c r="G382" s="36"/>
      <c r="H382" s="37"/>
      <c r="I382" s="35">
        <f>SUM(J382:M382)</f>
        <v>804623.7</v>
      </c>
      <c r="J382" s="36"/>
      <c r="K382" s="36">
        <v>804623.7</v>
      </c>
      <c r="L382" s="36"/>
      <c r="M382" s="37"/>
      <c r="N382" s="35">
        <f t="shared" ref="N382:N399" si="200">SUM(O382:R382)</f>
        <v>804623.68</v>
      </c>
      <c r="O382" s="36"/>
      <c r="P382" s="36">
        <v>804623.68</v>
      </c>
      <c r="Q382" s="36"/>
      <c r="R382" s="37"/>
      <c r="S382" s="29">
        <f t="shared" si="177"/>
        <v>0.99999997514366046</v>
      </c>
      <c r="T382" s="30" t="str">
        <f t="shared" si="178"/>
        <v xml:space="preserve"> </v>
      </c>
      <c r="U382" s="30">
        <f t="shared" si="179"/>
        <v>0.99999997514366046</v>
      </c>
      <c r="V382" s="30" t="str">
        <f t="shared" si="180"/>
        <v xml:space="preserve"> </v>
      </c>
      <c r="W382" s="30" t="str">
        <f t="shared" si="180"/>
        <v xml:space="preserve"> </v>
      </c>
    </row>
    <row r="383" spans="1:23" ht="42.75" customHeight="1" x14ac:dyDescent="0.2">
      <c r="A383" s="74"/>
      <c r="B383" s="75"/>
      <c r="C383" s="4" t="s">
        <v>222</v>
      </c>
      <c r="D383" s="35"/>
      <c r="E383" s="36"/>
      <c r="F383" s="36"/>
      <c r="G383" s="36"/>
      <c r="H383" s="37"/>
      <c r="I383" s="35">
        <f>SUM(J383:M383)</f>
        <v>197428.6</v>
      </c>
      <c r="J383" s="36"/>
      <c r="K383" s="36">
        <v>197428.6</v>
      </c>
      <c r="L383" s="36"/>
      <c r="M383" s="37"/>
      <c r="N383" s="35">
        <f t="shared" si="200"/>
        <v>195576.07</v>
      </c>
      <c r="O383" s="36"/>
      <c r="P383" s="36">
        <v>195576.07</v>
      </c>
      <c r="Q383" s="36"/>
      <c r="R383" s="37"/>
      <c r="S383" s="29">
        <f t="shared" si="177"/>
        <v>0.99061670902797261</v>
      </c>
      <c r="T383" s="30" t="str">
        <f t="shared" si="178"/>
        <v xml:space="preserve"> </v>
      </c>
      <c r="U383" s="30">
        <f t="shared" si="179"/>
        <v>0.99061670902797261</v>
      </c>
      <c r="V383" s="30" t="str">
        <f t="shared" si="180"/>
        <v xml:space="preserve"> </v>
      </c>
      <c r="W383" s="30" t="str">
        <f t="shared" si="180"/>
        <v xml:space="preserve"> </v>
      </c>
    </row>
    <row r="384" spans="1:23" s="38" customFormat="1" ht="36" customHeight="1" x14ac:dyDescent="0.2">
      <c r="A384" s="72"/>
      <c r="B384" s="76"/>
      <c r="C384" s="1" t="s">
        <v>223</v>
      </c>
      <c r="D384" s="5">
        <f>SUM(E384:H384)</f>
        <v>0</v>
      </c>
      <c r="E384" s="6">
        <f>SUM(E385:E387)</f>
        <v>0</v>
      </c>
      <c r="F384" s="6">
        <f t="shared" ref="F384" si="201">SUM(F385:F387)</f>
        <v>0</v>
      </c>
      <c r="G384" s="6">
        <f t="shared" ref="G384" si="202">SUM(G385:G387)</f>
        <v>0</v>
      </c>
      <c r="H384" s="7">
        <f t="shared" ref="H384" si="203">SUM(H385:H387)</f>
        <v>0</v>
      </c>
      <c r="I384" s="5">
        <f>SUM(J384:M384)</f>
        <v>649926.30000000005</v>
      </c>
      <c r="J384" s="6">
        <f>SUM(J385:J387)</f>
        <v>103388.4</v>
      </c>
      <c r="K384" s="6">
        <f t="shared" ref="K384:M384" si="204">SUM(K385:K387)</f>
        <v>546537.9</v>
      </c>
      <c r="L384" s="6">
        <f t="shared" si="204"/>
        <v>0</v>
      </c>
      <c r="M384" s="7">
        <f t="shared" si="204"/>
        <v>0</v>
      </c>
      <c r="N384" s="5">
        <f t="shared" si="200"/>
        <v>636325.68999999994</v>
      </c>
      <c r="O384" s="6">
        <f>SUM(O385:O387)</f>
        <v>90462.25</v>
      </c>
      <c r="P384" s="6">
        <f t="shared" ref="P384" si="205">SUM(P385:P387)</f>
        <v>545863.43999999994</v>
      </c>
      <c r="Q384" s="6">
        <f t="shared" ref="Q384" si="206">SUM(Q385:Q387)</f>
        <v>0</v>
      </c>
      <c r="R384" s="7">
        <f t="shared" ref="R384" si="207">SUM(R385:R387)</f>
        <v>0</v>
      </c>
      <c r="S384" s="26">
        <f t="shared" si="177"/>
        <v>0.97907361188491659</v>
      </c>
      <c r="T384" s="27">
        <f t="shared" si="178"/>
        <v>0.87497485211106862</v>
      </c>
      <c r="U384" s="27">
        <f t="shared" si="179"/>
        <v>0.99876594102623062</v>
      </c>
      <c r="V384" s="27" t="str">
        <f t="shared" si="180"/>
        <v xml:space="preserve"> </v>
      </c>
      <c r="W384" s="27" t="str">
        <f t="shared" si="180"/>
        <v xml:space="preserve"> </v>
      </c>
    </row>
    <row r="385" spans="1:23" ht="25.5" customHeight="1" x14ac:dyDescent="0.2">
      <c r="A385" s="74"/>
      <c r="B385" s="75"/>
      <c r="C385" s="4" t="s">
        <v>224</v>
      </c>
      <c r="D385" s="35"/>
      <c r="E385" s="36"/>
      <c r="F385" s="36"/>
      <c r="G385" s="36"/>
      <c r="H385" s="37"/>
      <c r="I385" s="35">
        <f t="shared" ref="I385:I399" si="208">SUM(J385:M385)</f>
        <v>484119.8</v>
      </c>
      <c r="J385" s="36"/>
      <c r="K385" s="36">
        <v>484119.8</v>
      </c>
      <c r="L385" s="36"/>
      <c r="M385" s="37"/>
      <c r="N385" s="35">
        <f t="shared" si="200"/>
        <v>484119.8</v>
      </c>
      <c r="O385" s="36"/>
      <c r="P385" s="36">
        <v>484119.8</v>
      </c>
      <c r="Q385" s="36"/>
      <c r="R385" s="37"/>
      <c r="S385" s="29">
        <f t="shared" si="177"/>
        <v>1</v>
      </c>
      <c r="T385" s="30" t="str">
        <f t="shared" si="178"/>
        <v xml:space="preserve"> </v>
      </c>
      <c r="U385" s="30">
        <f t="shared" si="179"/>
        <v>1</v>
      </c>
      <c r="V385" s="30" t="str">
        <f t="shared" si="180"/>
        <v xml:space="preserve"> </v>
      </c>
      <c r="W385" s="30" t="str">
        <f t="shared" si="180"/>
        <v xml:space="preserve"> </v>
      </c>
    </row>
    <row r="386" spans="1:23" ht="25.5" customHeight="1" x14ac:dyDescent="0.2">
      <c r="A386" s="74"/>
      <c r="B386" s="75"/>
      <c r="C386" s="4" t="s">
        <v>225</v>
      </c>
      <c r="D386" s="35"/>
      <c r="E386" s="36"/>
      <c r="F386" s="36"/>
      <c r="G386" s="36"/>
      <c r="H386" s="37"/>
      <c r="I386" s="35">
        <f t="shared" si="208"/>
        <v>103388.4</v>
      </c>
      <c r="J386" s="36">
        <v>103388.4</v>
      </c>
      <c r="K386" s="36"/>
      <c r="L386" s="36"/>
      <c r="M386" s="37"/>
      <c r="N386" s="35">
        <f t="shared" si="200"/>
        <v>90462.25</v>
      </c>
      <c r="O386" s="36">
        <v>90462.25</v>
      </c>
      <c r="P386" s="36"/>
      <c r="Q386" s="36"/>
      <c r="R386" s="37"/>
      <c r="S386" s="29">
        <f t="shared" si="177"/>
        <v>0.87497485211106862</v>
      </c>
      <c r="T386" s="30">
        <f t="shared" si="178"/>
        <v>0.87497485211106862</v>
      </c>
      <c r="U386" s="30" t="str">
        <f t="shared" si="179"/>
        <v xml:space="preserve"> </v>
      </c>
      <c r="V386" s="30" t="str">
        <f t="shared" si="180"/>
        <v xml:space="preserve"> </v>
      </c>
      <c r="W386" s="30" t="str">
        <f t="shared" si="180"/>
        <v xml:space="preserve"> </v>
      </c>
    </row>
    <row r="387" spans="1:23" ht="25.5" customHeight="1" x14ac:dyDescent="0.2">
      <c r="A387" s="74"/>
      <c r="B387" s="75"/>
      <c r="C387" s="4" t="s">
        <v>226</v>
      </c>
      <c r="D387" s="35"/>
      <c r="E387" s="36"/>
      <c r="F387" s="36"/>
      <c r="G387" s="36"/>
      <c r="H387" s="37"/>
      <c r="I387" s="35">
        <f t="shared" si="208"/>
        <v>62418.1</v>
      </c>
      <c r="J387" s="36"/>
      <c r="K387" s="36">
        <v>62418.1</v>
      </c>
      <c r="L387" s="36"/>
      <c r="M387" s="37"/>
      <c r="N387" s="35">
        <f t="shared" si="200"/>
        <v>61743.64</v>
      </c>
      <c r="O387" s="36"/>
      <c r="P387" s="36">
        <v>61743.64</v>
      </c>
      <c r="Q387" s="36"/>
      <c r="R387" s="37"/>
      <c r="S387" s="29">
        <f t="shared" si="177"/>
        <v>0.98919448044717795</v>
      </c>
      <c r="T387" s="30" t="str">
        <f t="shared" si="178"/>
        <v xml:space="preserve"> </v>
      </c>
      <c r="U387" s="30">
        <f t="shared" si="179"/>
        <v>0.98919448044717795</v>
      </c>
      <c r="V387" s="30" t="str">
        <f t="shared" si="180"/>
        <v xml:space="preserve"> </v>
      </c>
      <c r="W387" s="30" t="str">
        <f t="shared" si="180"/>
        <v xml:space="preserve"> </v>
      </c>
    </row>
    <row r="388" spans="1:23" s="38" customFormat="1" ht="21.75" customHeight="1" x14ac:dyDescent="0.2">
      <c r="A388" s="72"/>
      <c r="B388" s="76"/>
      <c r="C388" s="1" t="s">
        <v>227</v>
      </c>
      <c r="D388" s="5">
        <f>SUM(E388:H388)</f>
        <v>0</v>
      </c>
      <c r="E388" s="6">
        <f>SUM(E389)</f>
        <v>0</v>
      </c>
      <c r="F388" s="6">
        <f t="shared" ref="F388:H388" si="209">SUM(F389)</f>
        <v>0</v>
      </c>
      <c r="G388" s="6">
        <f t="shared" si="209"/>
        <v>0</v>
      </c>
      <c r="H388" s="7">
        <f t="shared" si="209"/>
        <v>0</v>
      </c>
      <c r="I388" s="5">
        <f>SUM(J388:M388)</f>
        <v>563107.19999999995</v>
      </c>
      <c r="J388" s="6">
        <f>SUM(J389)</f>
        <v>563107.19999999995</v>
      </c>
      <c r="K388" s="6">
        <f t="shared" ref="K388:R388" si="210">SUM(K389)</f>
        <v>0</v>
      </c>
      <c r="L388" s="6">
        <f t="shared" si="210"/>
        <v>0</v>
      </c>
      <c r="M388" s="7">
        <f t="shared" si="210"/>
        <v>0</v>
      </c>
      <c r="N388" s="5">
        <f t="shared" si="200"/>
        <v>561906.92000000004</v>
      </c>
      <c r="O388" s="6">
        <f>SUM(O389)</f>
        <v>561906.92000000004</v>
      </c>
      <c r="P388" s="6">
        <f t="shared" si="210"/>
        <v>0</v>
      </c>
      <c r="Q388" s="6">
        <f t="shared" si="210"/>
        <v>0</v>
      </c>
      <c r="R388" s="7">
        <f t="shared" si="210"/>
        <v>0</v>
      </c>
      <c r="S388" s="26">
        <f t="shared" si="177"/>
        <v>0.99786846980468391</v>
      </c>
      <c r="T388" s="27">
        <f t="shared" si="178"/>
        <v>0.99786846980468391</v>
      </c>
      <c r="U388" s="27" t="str">
        <f t="shared" si="179"/>
        <v xml:space="preserve"> </v>
      </c>
      <c r="V388" s="27" t="str">
        <f t="shared" si="180"/>
        <v xml:space="preserve"> </v>
      </c>
      <c r="W388" s="27" t="str">
        <f t="shared" si="180"/>
        <v xml:space="preserve"> </v>
      </c>
    </row>
    <row r="389" spans="1:23" ht="27" customHeight="1" x14ac:dyDescent="0.2">
      <c r="A389" s="74"/>
      <c r="B389" s="75"/>
      <c r="C389" s="4" t="s">
        <v>228</v>
      </c>
      <c r="D389" s="35"/>
      <c r="E389" s="36"/>
      <c r="F389" s="36"/>
      <c r="G389" s="36"/>
      <c r="H389" s="37"/>
      <c r="I389" s="35">
        <f t="shared" si="208"/>
        <v>563107.19999999995</v>
      </c>
      <c r="J389" s="36">
        <v>563107.19999999995</v>
      </c>
      <c r="K389" s="36"/>
      <c r="L389" s="36"/>
      <c r="M389" s="37"/>
      <c r="N389" s="35">
        <f t="shared" si="200"/>
        <v>561906.92000000004</v>
      </c>
      <c r="O389" s="36">
        <v>561906.92000000004</v>
      </c>
      <c r="P389" s="36"/>
      <c r="Q389" s="36"/>
      <c r="R389" s="37"/>
      <c r="S389" s="29">
        <f t="shared" si="177"/>
        <v>0.99786846980468391</v>
      </c>
      <c r="T389" s="30">
        <f t="shared" si="178"/>
        <v>0.99786846980468391</v>
      </c>
      <c r="U389" s="30" t="str">
        <f t="shared" si="179"/>
        <v xml:space="preserve"> </v>
      </c>
      <c r="V389" s="30" t="str">
        <f t="shared" si="180"/>
        <v xml:space="preserve"> </v>
      </c>
      <c r="W389" s="30" t="str">
        <f t="shared" si="180"/>
        <v xml:space="preserve"> </v>
      </c>
    </row>
    <row r="390" spans="1:23" s="38" customFormat="1" ht="27.75" customHeight="1" x14ac:dyDescent="0.2">
      <c r="A390" s="72"/>
      <c r="B390" s="76"/>
      <c r="C390" s="1" t="s">
        <v>130</v>
      </c>
      <c r="D390" s="5">
        <f>SUM(E390:H390)</f>
        <v>0</v>
      </c>
      <c r="E390" s="6">
        <f>SUM(E391)</f>
        <v>0</v>
      </c>
      <c r="F390" s="6">
        <f t="shared" ref="F390:H390" si="211">SUM(F391)</f>
        <v>0</v>
      </c>
      <c r="G390" s="6">
        <f t="shared" si="211"/>
        <v>0</v>
      </c>
      <c r="H390" s="7">
        <f t="shared" si="211"/>
        <v>0</v>
      </c>
      <c r="I390" s="5">
        <f t="shared" si="208"/>
        <v>103958.5</v>
      </c>
      <c r="J390" s="6">
        <f t="shared" ref="J390:L390" si="212">SUM(J391)</f>
        <v>0</v>
      </c>
      <c r="K390" s="6">
        <f t="shared" si="212"/>
        <v>103958.5</v>
      </c>
      <c r="L390" s="6">
        <f t="shared" si="212"/>
        <v>0</v>
      </c>
      <c r="M390" s="7"/>
      <c r="N390" s="5">
        <f t="shared" si="200"/>
        <v>100000</v>
      </c>
      <c r="O390" s="6">
        <f t="shared" ref="O390:Q390" si="213">SUM(O391)</f>
        <v>0</v>
      </c>
      <c r="P390" s="6">
        <f t="shared" si="213"/>
        <v>100000</v>
      </c>
      <c r="Q390" s="6">
        <f t="shared" si="213"/>
        <v>0</v>
      </c>
      <c r="R390" s="7"/>
      <c r="S390" s="26">
        <f t="shared" si="177"/>
        <v>0.96192230553538194</v>
      </c>
      <c r="T390" s="27" t="str">
        <f t="shared" si="178"/>
        <v xml:space="preserve"> </v>
      </c>
      <c r="U390" s="27">
        <f t="shared" si="179"/>
        <v>0.96192230553538194</v>
      </c>
      <c r="V390" s="27" t="str">
        <f t="shared" si="180"/>
        <v xml:space="preserve"> </v>
      </c>
      <c r="W390" s="27" t="str">
        <f t="shared" si="180"/>
        <v xml:space="preserve"> </v>
      </c>
    </row>
    <row r="391" spans="1:23" ht="33" x14ac:dyDescent="0.2">
      <c r="A391" s="74"/>
      <c r="B391" s="75"/>
      <c r="C391" s="4" t="s">
        <v>229</v>
      </c>
      <c r="D391" s="35"/>
      <c r="E391" s="36"/>
      <c r="F391" s="36"/>
      <c r="G391" s="36"/>
      <c r="H391" s="37"/>
      <c r="I391" s="35">
        <f t="shared" si="208"/>
        <v>103958.5</v>
      </c>
      <c r="J391" s="36"/>
      <c r="K391" s="36">
        <v>103958.5</v>
      </c>
      <c r="L391" s="36"/>
      <c r="M391" s="37"/>
      <c r="N391" s="35">
        <f t="shared" si="200"/>
        <v>100000</v>
      </c>
      <c r="O391" s="36"/>
      <c r="P391" s="36">
        <v>100000</v>
      </c>
      <c r="Q391" s="36"/>
      <c r="R391" s="37"/>
      <c r="S391" s="29">
        <f t="shared" si="177"/>
        <v>0.96192230553538194</v>
      </c>
      <c r="T391" s="30" t="str">
        <f t="shared" si="178"/>
        <v xml:space="preserve"> </v>
      </c>
      <c r="U391" s="30">
        <f t="shared" si="179"/>
        <v>0.96192230553538194</v>
      </c>
      <c r="V391" s="30" t="str">
        <f t="shared" si="180"/>
        <v xml:space="preserve"> </v>
      </c>
      <c r="W391" s="30" t="str">
        <f t="shared" si="180"/>
        <v xml:space="preserve"> </v>
      </c>
    </row>
    <row r="392" spans="1:23" s="38" customFormat="1" ht="26.25" customHeight="1" x14ac:dyDescent="0.2">
      <c r="A392" s="72"/>
      <c r="B392" s="76"/>
      <c r="C392" s="1" t="s">
        <v>230</v>
      </c>
      <c r="D392" s="5">
        <f>SUM(E392:H392)</f>
        <v>0</v>
      </c>
      <c r="E392" s="6">
        <f>SUM(E393)</f>
        <v>0</v>
      </c>
      <c r="F392" s="6">
        <f t="shared" ref="F392:H398" si="214">SUM(F393)</f>
        <v>0</v>
      </c>
      <c r="G392" s="6">
        <f t="shared" si="214"/>
        <v>0</v>
      </c>
      <c r="H392" s="7">
        <f t="shared" si="214"/>
        <v>0</v>
      </c>
      <c r="I392" s="5">
        <f t="shared" si="208"/>
        <v>155197</v>
      </c>
      <c r="J392" s="6">
        <f t="shared" ref="J392:L392" si="215">SUM(J393:J393)</f>
        <v>155197</v>
      </c>
      <c r="K392" s="6">
        <f t="shared" si="215"/>
        <v>0</v>
      </c>
      <c r="L392" s="6">
        <f t="shared" si="215"/>
        <v>0</v>
      </c>
      <c r="M392" s="7"/>
      <c r="N392" s="5">
        <f t="shared" si="200"/>
        <v>150000</v>
      </c>
      <c r="O392" s="6">
        <f t="shared" ref="O392:Q392" si="216">SUM(O393:O393)</f>
        <v>150000</v>
      </c>
      <c r="P392" s="6">
        <f t="shared" si="216"/>
        <v>0</v>
      </c>
      <c r="Q392" s="6">
        <f t="shared" si="216"/>
        <v>0</v>
      </c>
      <c r="R392" s="7"/>
      <c r="S392" s="26">
        <f t="shared" si="177"/>
        <v>0.96651352796767975</v>
      </c>
      <c r="T392" s="27">
        <f t="shared" si="178"/>
        <v>0.96651352796767975</v>
      </c>
      <c r="U392" s="27" t="str">
        <f t="shared" si="179"/>
        <v xml:space="preserve"> </v>
      </c>
      <c r="V392" s="27" t="str">
        <f t="shared" si="180"/>
        <v xml:space="preserve"> </v>
      </c>
      <c r="W392" s="27" t="str">
        <f t="shared" si="180"/>
        <v xml:space="preserve"> </v>
      </c>
    </row>
    <row r="393" spans="1:23" ht="27.75" customHeight="1" x14ac:dyDescent="0.2">
      <c r="A393" s="74"/>
      <c r="B393" s="75"/>
      <c r="C393" s="4" t="s">
        <v>231</v>
      </c>
      <c r="D393" s="35"/>
      <c r="E393" s="36"/>
      <c r="F393" s="36"/>
      <c r="G393" s="36"/>
      <c r="H393" s="37"/>
      <c r="I393" s="35">
        <f t="shared" si="208"/>
        <v>155197</v>
      </c>
      <c r="J393" s="36">
        <v>155197</v>
      </c>
      <c r="K393" s="36"/>
      <c r="L393" s="36"/>
      <c r="M393" s="37"/>
      <c r="N393" s="35">
        <f t="shared" si="200"/>
        <v>150000</v>
      </c>
      <c r="O393" s="36">
        <v>150000</v>
      </c>
      <c r="P393" s="36"/>
      <c r="Q393" s="36"/>
      <c r="R393" s="37"/>
      <c r="S393" s="29">
        <f t="shared" si="177"/>
        <v>0.96651352796767975</v>
      </c>
      <c r="T393" s="30">
        <f t="shared" si="178"/>
        <v>0.96651352796767975</v>
      </c>
      <c r="U393" s="30" t="str">
        <f t="shared" si="179"/>
        <v xml:space="preserve"> </v>
      </c>
      <c r="V393" s="30" t="str">
        <f t="shared" si="180"/>
        <v xml:space="preserve"> </v>
      </c>
      <c r="W393" s="30" t="str">
        <f t="shared" si="180"/>
        <v xml:space="preserve"> </v>
      </c>
    </row>
    <row r="394" spans="1:23" s="38" customFormat="1" ht="31.5" customHeight="1" x14ac:dyDescent="0.2">
      <c r="A394" s="72"/>
      <c r="B394" s="76"/>
      <c r="C394" s="1" t="s">
        <v>232</v>
      </c>
      <c r="D394" s="5">
        <f>SUM(E394:H394)</f>
        <v>0</v>
      </c>
      <c r="E394" s="6">
        <f>SUM(E395)</f>
        <v>0</v>
      </c>
      <c r="F394" s="6">
        <f t="shared" si="214"/>
        <v>0</v>
      </c>
      <c r="G394" s="6">
        <f t="shared" si="214"/>
        <v>0</v>
      </c>
      <c r="H394" s="7">
        <f t="shared" si="214"/>
        <v>0</v>
      </c>
      <c r="I394" s="5">
        <f t="shared" si="208"/>
        <v>6600</v>
      </c>
      <c r="J394" s="6">
        <f t="shared" ref="J394:L394" si="217">SUM(J395)</f>
        <v>0</v>
      </c>
      <c r="K394" s="6">
        <f t="shared" si="217"/>
        <v>0</v>
      </c>
      <c r="L394" s="6">
        <f t="shared" si="217"/>
        <v>6600</v>
      </c>
      <c r="M394" s="7"/>
      <c r="N394" s="5">
        <f t="shared" si="200"/>
        <v>0</v>
      </c>
      <c r="O394" s="6">
        <f t="shared" ref="O394:Q394" si="218">SUM(O395)</f>
        <v>0</v>
      </c>
      <c r="P394" s="6">
        <f t="shared" si="218"/>
        <v>0</v>
      </c>
      <c r="Q394" s="6">
        <f t="shared" si="218"/>
        <v>0</v>
      </c>
      <c r="R394" s="7"/>
      <c r="S394" s="26">
        <f t="shared" si="177"/>
        <v>0</v>
      </c>
      <c r="T394" s="27" t="str">
        <f t="shared" si="178"/>
        <v xml:space="preserve"> </v>
      </c>
      <c r="U394" s="27" t="str">
        <f t="shared" si="179"/>
        <v xml:space="preserve"> </v>
      </c>
      <c r="V394" s="27">
        <f t="shared" si="180"/>
        <v>0</v>
      </c>
      <c r="W394" s="27" t="str">
        <f t="shared" si="180"/>
        <v xml:space="preserve"> </v>
      </c>
    </row>
    <row r="395" spans="1:23" ht="38.25" customHeight="1" x14ac:dyDescent="0.2">
      <c r="A395" s="74"/>
      <c r="B395" s="75"/>
      <c r="C395" s="4" t="s">
        <v>233</v>
      </c>
      <c r="D395" s="35"/>
      <c r="E395" s="36"/>
      <c r="F395" s="36"/>
      <c r="G395" s="36"/>
      <c r="H395" s="37"/>
      <c r="I395" s="35">
        <f t="shared" si="208"/>
        <v>6600</v>
      </c>
      <c r="J395" s="36"/>
      <c r="K395" s="36"/>
      <c r="L395" s="36">
        <v>6600</v>
      </c>
      <c r="M395" s="37"/>
      <c r="N395" s="35">
        <f t="shared" si="200"/>
        <v>0</v>
      </c>
      <c r="O395" s="36"/>
      <c r="P395" s="36"/>
      <c r="Q395" s="36"/>
      <c r="R395" s="37"/>
      <c r="S395" s="29">
        <f t="shared" si="177"/>
        <v>0</v>
      </c>
      <c r="T395" s="30" t="str">
        <f t="shared" si="178"/>
        <v xml:space="preserve"> </v>
      </c>
      <c r="U395" s="30" t="str">
        <f t="shared" si="179"/>
        <v xml:space="preserve"> </v>
      </c>
      <c r="V395" s="30">
        <f t="shared" si="180"/>
        <v>0</v>
      </c>
      <c r="W395" s="30" t="str">
        <f t="shared" si="180"/>
        <v xml:space="preserve"> </v>
      </c>
    </row>
    <row r="396" spans="1:23" ht="35.25" customHeight="1" x14ac:dyDescent="0.2">
      <c r="A396" s="72"/>
      <c r="B396" s="76"/>
      <c r="C396" s="1" t="s">
        <v>131</v>
      </c>
      <c r="D396" s="5">
        <f>SUM(E396:H396)</f>
        <v>0</v>
      </c>
      <c r="E396" s="6">
        <f>SUM(E397)</f>
        <v>0</v>
      </c>
      <c r="F396" s="6">
        <f t="shared" si="214"/>
        <v>0</v>
      </c>
      <c r="G396" s="6">
        <f t="shared" si="214"/>
        <v>0</v>
      </c>
      <c r="H396" s="7">
        <f t="shared" si="214"/>
        <v>0</v>
      </c>
      <c r="I396" s="5">
        <f t="shared" si="208"/>
        <v>93199.8</v>
      </c>
      <c r="J396" s="6">
        <f t="shared" ref="J396:L396" si="219">SUM(J397)</f>
        <v>93199.8</v>
      </c>
      <c r="K396" s="6">
        <f t="shared" si="219"/>
        <v>0</v>
      </c>
      <c r="L396" s="6">
        <f t="shared" si="219"/>
        <v>0</v>
      </c>
      <c r="M396" s="7"/>
      <c r="N396" s="5">
        <f t="shared" si="200"/>
        <v>90541.57</v>
      </c>
      <c r="O396" s="6">
        <f t="shared" ref="O396:Q396" si="220">SUM(O397)</f>
        <v>90541.57</v>
      </c>
      <c r="P396" s="6">
        <f t="shared" si="220"/>
        <v>0</v>
      </c>
      <c r="Q396" s="6">
        <f t="shared" si="220"/>
        <v>0</v>
      </c>
      <c r="R396" s="7"/>
      <c r="S396" s="29">
        <f t="shared" si="177"/>
        <v>0.97147815767845003</v>
      </c>
      <c r="T396" s="30">
        <f t="shared" si="178"/>
        <v>0.97147815767845003</v>
      </c>
      <c r="U396" s="30" t="str">
        <f t="shared" si="179"/>
        <v xml:space="preserve"> </v>
      </c>
      <c r="V396" s="30" t="str">
        <f t="shared" si="180"/>
        <v xml:space="preserve"> </v>
      </c>
      <c r="W396" s="30" t="str">
        <f t="shared" si="180"/>
        <v xml:space="preserve"> </v>
      </c>
    </row>
    <row r="397" spans="1:23" ht="30.75" customHeight="1" x14ac:dyDescent="0.2">
      <c r="A397" s="74"/>
      <c r="B397" s="75"/>
      <c r="C397" s="4" t="s">
        <v>234</v>
      </c>
      <c r="D397" s="35"/>
      <c r="E397" s="36"/>
      <c r="F397" s="36"/>
      <c r="G397" s="36"/>
      <c r="H397" s="37"/>
      <c r="I397" s="35">
        <f t="shared" si="208"/>
        <v>93199.8</v>
      </c>
      <c r="J397" s="36">
        <v>93199.8</v>
      </c>
      <c r="K397" s="36"/>
      <c r="L397" s="36"/>
      <c r="M397" s="37"/>
      <c r="N397" s="35">
        <f t="shared" si="200"/>
        <v>90541.57</v>
      </c>
      <c r="O397" s="36">
        <v>90541.57</v>
      </c>
      <c r="P397" s="36"/>
      <c r="Q397" s="36"/>
      <c r="R397" s="37"/>
      <c r="S397" s="29">
        <f t="shared" si="177"/>
        <v>0.97147815767845003</v>
      </c>
      <c r="T397" s="30">
        <f t="shared" si="178"/>
        <v>0.97147815767845003</v>
      </c>
      <c r="U397" s="30" t="str">
        <f t="shared" si="179"/>
        <v xml:space="preserve"> </v>
      </c>
      <c r="V397" s="30" t="str">
        <f t="shared" si="180"/>
        <v xml:space="preserve"> </v>
      </c>
      <c r="W397" s="30" t="str">
        <f t="shared" si="180"/>
        <v xml:space="preserve"> </v>
      </c>
    </row>
    <row r="398" spans="1:23" s="38" customFormat="1" ht="27.75" customHeight="1" x14ac:dyDescent="0.2">
      <c r="A398" s="72"/>
      <c r="B398" s="76"/>
      <c r="C398" s="1" t="s">
        <v>133</v>
      </c>
      <c r="D398" s="5">
        <f>SUM(E398:H398)</f>
        <v>0</v>
      </c>
      <c r="E398" s="6">
        <f>SUM(E399)</f>
        <v>0</v>
      </c>
      <c r="F398" s="6">
        <f t="shared" si="214"/>
        <v>0</v>
      </c>
      <c r="G398" s="6">
        <f t="shared" si="214"/>
        <v>0</v>
      </c>
      <c r="H398" s="7">
        <f t="shared" si="214"/>
        <v>0</v>
      </c>
      <c r="I398" s="5">
        <f t="shared" si="208"/>
        <v>250154.7</v>
      </c>
      <c r="J398" s="6">
        <f t="shared" ref="J398:L398" si="221">J399</f>
        <v>0</v>
      </c>
      <c r="K398" s="6">
        <f t="shared" si="221"/>
        <v>250154.7</v>
      </c>
      <c r="L398" s="6">
        <f t="shared" si="221"/>
        <v>0</v>
      </c>
      <c r="M398" s="7"/>
      <c r="N398" s="5">
        <f t="shared" si="200"/>
        <v>246571.5</v>
      </c>
      <c r="O398" s="6">
        <f t="shared" ref="O398:Q398" si="222">O399</f>
        <v>0</v>
      </c>
      <c r="P398" s="6">
        <f t="shared" si="222"/>
        <v>246571.5</v>
      </c>
      <c r="Q398" s="6">
        <f t="shared" si="222"/>
        <v>0</v>
      </c>
      <c r="R398" s="7"/>
      <c r="S398" s="26">
        <f t="shared" si="177"/>
        <v>0.98567606365181226</v>
      </c>
      <c r="T398" s="27" t="str">
        <f t="shared" si="178"/>
        <v xml:space="preserve"> </v>
      </c>
      <c r="U398" s="27">
        <f t="shared" si="179"/>
        <v>0.98567606365181226</v>
      </c>
      <c r="V398" s="27" t="str">
        <f t="shared" si="180"/>
        <v xml:space="preserve"> </v>
      </c>
      <c r="W398" s="27" t="str">
        <f t="shared" si="180"/>
        <v xml:space="preserve"> </v>
      </c>
    </row>
    <row r="399" spans="1:23" ht="35.25" customHeight="1" x14ac:dyDescent="0.2">
      <c r="A399" s="74"/>
      <c r="B399" s="75"/>
      <c r="C399" s="4" t="s">
        <v>235</v>
      </c>
      <c r="D399" s="35"/>
      <c r="E399" s="36"/>
      <c r="F399" s="36"/>
      <c r="G399" s="36"/>
      <c r="H399" s="37"/>
      <c r="I399" s="35">
        <f t="shared" si="208"/>
        <v>250154.7</v>
      </c>
      <c r="J399" s="36"/>
      <c r="K399" s="36">
        <v>250154.7</v>
      </c>
      <c r="L399" s="36"/>
      <c r="M399" s="37"/>
      <c r="N399" s="35">
        <f t="shared" si="200"/>
        <v>246571.5</v>
      </c>
      <c r="O399" s="36"/>
      <c r="P399" s="36">
        <v>246571.5</v>
      </c>
      <c r="Q399" s="36"/>
      <c r="R399" s="37"/>
      <c r="S399" s="29">
        <f t="shared" si="177"/>
        <v>0.98567606365181226</v>
      </c>
      <c r="T399" s="30" t="str">
        <f t="shared" si="178"/>
        <v xml:space="preserve"> </v>
      </c>
      <c r="U399" s="30">
        <f t="shared" si="179"/>
        <v>0.98567606365181226</v>
      </c>
      <c r="V399" s="30" t="str">
        <f t="shared" si="180"/>
        <v xml:space="preserve"> </v>
      </c>
      <c r="W399" s="30" t="str">
        <f t="shared" si="180"/>
        <v xml:space="preserve"> </v>
      </c>
    </row>
    <row r="400" spans="1:23" s="38" customFormat="1" ht="42" customHeight="1" x14ac:dyDescent="0.2">
      <c r="A400" s="72"/>
      <c r="B400" s="76"/>
      <c r="C400" s="89" t="s">
        <v>46</v>
      </c>
      <c r="D400" s="5">
        <f>SUM(D402,D403,D404,D405,D406,D407,D408,D409,D410,D413,D419,D420,D421)</f>
        <v>3767484.1999999997</v>
      </c>
      <c r="E400" s="6">
        <f t="shared" ref="E400:R400" si="223">SUM(E402,E403,E404,E405,E406,E407,E408,E409,E410,E413,E419,E420,E421)</f>
        <v>1756560</v>
      </c>
      <c r="F400" s="6">
        <f t="shared" si="223"/>
        <v>1405152</v>
      </c>
      <c r="G400" s="6">
        <f t="shared" si="223"/>
        <v>181884</v>
      </c>
      <c r="H400" s="7">
        <f t="shared" si="223"/>
        <v>423888.2</v>
      </c>
      <c r="I400" s="5">
        <f>SUM(I402,I403,I404,I405,I406,I407,I408,I409,I410,I413,I419,I420,I421)</f>
        <v>4212118.4000000004</v>
      </c>
      <c r="J400" s="6">
        <f t="shared" si="223"/>
        <v>1066980</v>
      </c>
      <c r="K400" s="6">
        <f t="shared" si="223"/>
        <v>743376.6</v>
      </c>
      <c r="L400" s="6">
        <f t="shared" si="223"/>
        <v>63975</v>
      </c>
      <c r="M400" s="7">
        <f t="shared" si="223"/>
        <v>2337786.7999999998</v>
      </c>
      <c r="N400" s="5">
        <f t="shared" si="223"/>
        <v>3095138.9799999995</v>
      </c>
      <c r="O400" s="6">
        <f t="shared" si="223"/>
        <v>1005780.6</v>
      </c>
      <c r="P400" s="6">
        <f t="shared" si="223"/>
        <v>357567.1</v>
      </c>
      <c r="Q400" s="6">
        <f t="shared" si="223"/>
        <v>63725</v>
      </c>
      <c r="R400" s="7">
        <f t="shared" si="223"/>
        <v>1668066.2799999998</v>
      </c>
      <c r="S400" s="26">
        <f t="shared" si="177"/>
        <v>0.7348176584969689</v>
      </c>
      <c r="T400" s="27">
        <f t="shared" si="178"/>
        <v>0.94264241129168302</v>
      </c>
      <c r="U400" s="27">
        <f t="shared" si="179"/>
        <v>0.48100397564303204</v>
      </c>
      <c r="V400" s="27">
        <f t="shared" si="180"/>
        <v>0.99609222352481441</v>
      </c>
      <c r="W400" s="27">
        <f t="shared" si="180"/>
        <v>0.71352369685721551</v>
      </c>
    </row>
    <row r="401" spans="1:23" ht="22.5" customHeight="1" x14ac:dyDescent="0.2">
      <c r="A401" s="74"/>
      <c r="B401" s="75"/>
      <c r="C401" s="4" t="s">
        <v>10</v>
      </c>
      <c r="D401" s="35"/>
      <c r="E401" s="36"/>
      <c r="F401" s="36"/>
      <c r="G401" s="36"/>
      <c r="H401" s="37"/>
      <c r="I401" s="35"/>
      <c r="J401" s="36"/>
      <c r="K401" s="36"/>
      <c r="L401" s="36"/>
      <c r="M401" s="37"/>
      <c r="N401" s="35"/>
      <c r="O401" s="36"/>
      <c r="P401" s="36"/>
      <c r="Q401" s="36"/>
      <c r="R401" s="37"/>
      <c r="S401" s="29" t="str">
        <f t="shared" si="177"/>
        <v xml:space="preserve"> </v>
      </c>
      <c r="T401" s="30" t="str">
        <f t="shared" si="178"/>
        <v xml:space="preserve"> </v>
      </c>
      <c r="U401" s="30" t="str">
        <f t="shared" si="179"/>
        <v xml:space="preserve"> </v>
      </c>
      <c r="V401" s="30" t="str">
        <f t="shared" si="180"/>
        <v xml:space="preserve"> </v>
      </c>
      <c r="W401" s="30" t="str">
        <f t="shared" si="180"/>
        <v xml:space="preserve"> </v>
      </c>
    </row>
    <row r="402" spans="1:23" ht="74.25" customHeight="1" x14ac:dyDescent="0.2">
      <c r="A402" s="72">
        <v>1057</v>
      </c>
      <c r="B402" s="76">
        <v>31001</v>
      </c>
      <c r="C402" s="1" t="s">
        <v>214</v>
      </c>
      <c r="D402" s="5">
        <f>SUM(E402:H402)</f>
        <v>0</v>
      </c>
      <c r="E402" s="6"/>
      <c r="F402" s="6"/>
      <c r="G402" s="6"/>
      <c r="H402" s="7"/>
      <c r="I402" s="5">
        <f>SUM(J402:M402)</f>
        <v>19853</v>
      </c>
      <c r="J402" s="6"/>
      <c r="K402" s="6"/>
      <c r="L402" s="6"/>
      <c r="M402" s="7">
        <v>19853</v>
      </c>
      <c r="N402" s="5">
        <f t="shared" ref="N402:N410" si="224">SUM(O402:R402)</f>
        <v>18874.849999999999</v>
      </c>
      <c r="O402" s="6"/>
      <c r="P402" s="6"/>
      <c r="Q402" s="6"/>
      <c r="R402" s="7">
        <v>18874.849999999999</v>
      </c>
      <c r="S402" s="26">
        <f t="shared" si="177"/>
        <v>0.9507303682063164</v>
      </c>
      <c r="T402" s="27" t="str">
        <f t="shared" si="178"/>
        <v xml:space="preserve"> </v>
      </c>
      <c r="U402" s="27" t="str">
        <f t="shared" si="179"/>
        <v xml:space="preserve"> </v>
      </c>
      <c r="V402" s="27" t="str">
        <f t="shared" si="180"/>
        <v xml:space="preserve"> </v>
      </c>
      <c r="W402" s="27">
        <f t="shared" si="180"/>
        <v>0.9507303682063164</v>
      </c>
    </row>
    <row r="403" spans="1:23" ht="98.25" customHeight="1" x14ac:dyDescent="0.2">
      <c r="A403" s="72">
        <v>1120</v>
      </c>
      <c r="B403" s="76">
        <v>31001</v>
      </c>
      <c r="C403" s="1" t="s">
        <v>60</v>
      </c>
      <c r="D403" s="5">
        <f>SUM(E403:H403)</f>
        <v>110000</v>
      </c>
      <c r="E403" s="6"/>
      <c r="F403" s="6"/>
      <c r="G403" s="6"/>
      <c r="H403" s="7">
        <v>110000</v>
      </c>
      <c r="I403" s="5">
        <f t="shared" ref="I403:I409" si="225">SUM(J403:M403)</f>
        <v>225180</v>
      </c>
      <c r="J403" s="6"/>
      <c r="K403" s="6"/>
      <c r="L403" s="6"/>
      <c r="M403" s="7">
        <v>225180</v>
      </c>
      <c r="N403" s="5">
        <f t="shared" si="224"/>
        <v>5140.5</v>
      </c>
      <c r="O403" s="6"/>
      <c r="P403" s="6"/>
      <c r="Q403" s="6"/>
      <c r="R403" s="7">
        <v>5140.5</v>
      </c>
      <c r="S403" s="26">
        <f t="shared" si="177"/>
        <v>2.2828403943511856E-2</v>
      </c>
      <c r="T403" s="27" t="str">
        <f t="shared" si="178"/>
        <v xml:space="preserve"> </v>
      </c>
      <c r="U403" s="27" t="str">
        <f t="shared" si="179"/>
        <v xml:space="preserve"> </v>
      </c>
      <c r="V403" s="27" t="str">
        <f t="shared" si="180"/>
        <v xml:space="preserve"> </v>
      </c>
      <c r="W403" s="27">
        <f t="shared" si="180"/>
        <v>2.2828403943511856E-2</v>
      </c>
    </row>
    <row r="404" spans="1:23" ht="99" x14ac:dyDescent="0.2">
      <c r="A404" s="72">
        <v>1120</v>
      </c>
      <c r="B404" s="76">
        <v>31002</v>
      </c>
      <c r="C404" s="1" t="s">
        <v>94</v>
      </c>
      <c r="D404" s="5">
        <f t="shared" ref="D404:D409" si="226">SUM(E404:H404)</f>
        <v>268059.3</v>
      </c>
      <c r="E404" s="6">
        <v>0</v>
      </c>
      <c r="F404" s="6">
        <v>0</v>
      </c>
      <c r="G404" s="6">
        <v>0</v>
      </c>
      <c r="H404" s="7">
        <v>268059.3</v>
      </c>
      <c r="I404" s="5">
        <f t="shared" si="225"/>
        <v>423928.5</v>
      </c>
      <c r="J404" s="6">
        <v>0</v>
      </c>
      <c r="K404" s="6">
        <v>0</v>
      </c>
      <c r="L404" s="6">
        <v>0</v>
      </c>
      <c r="M404" s="7">
        <v>423928.5</v>
      </c>
      <c r="N404" s="5">
        <f t="shared" si="224"/>
        <v>423928.48</v>
      </c>
      <c r="O404" s="6">
        <v>0</v>
      </c>
      <c r="P404" s="6">
        <v>0</v>
      </c>
      <c r="Q404" s="6">
        <v>0</v>
      </c>
      <c r="R404" s="7">
        <v>423928.48</v>
      </c>
      <c r="S404" s="26">
        <f t="shared" si="177"/>
        <v>0.99999995282223297</v>
      </c>
      <c r="T404" s="27" t="str">
        <f t="shared" si="178"/>
        <v xml:space="preserve"> </v>
      </c>
      <c r="U404" s="27" t="str">
        <f t="shared" si="179"/>
        <v xml:space="preserve"> </v>
      </c>
      <c r="V404" s="27" t="str">
        <f t="shared" si="180"/>
        <v xml:space="preserve"> </v>
      </c>
      <c r="W404" s="27">
        <f t="shared" si="180"/>
        <v>0.99999995282223297</v>
      </c>
    </row>
    <row r="405" spans="1:23" ht="47.25" customHeight="1" x14ac:dyDescent="0.2">
      <c r="A405" s="72">
        <v>1120</v>
      </c>
      <c r="B405" s="76">
        <v>31003</v>
      </c>
      <c r="C405" s="1" t="s">
        <v>95</v>
      </c>
      <c r="D405" s="5">
        <f t="shared" si="226"/>
        <v>86944</v>
      </c>
      <c r="E405" s="6">
        <v>0</v>
      </c>
      <c r="F405" s="6">
        <v>0</v>
      </c>
      <c r="G405" s="6">
        <v>86944</v>
      </c>
      <c r="H405" s="7">
        <v>0</v>
      </c>
      <c r="I405" s="5">
        <f t="shared" si="225"/>
        <v>48463</v>
      </c>
      <c r="J405" s="6">
        <v>0</v>
      </c>
      <c r="K405" s="6">
        <v>0</v>
      </c>
      <c r="L405" s="6">
        <v>48463</v>
      </c>
      <c r="M405" s="7">
        <v>0</v>
      </c>
      <c r="N405" s="5">
        <f t="shared" si="224"/>
        <v>48463</v>
      </c>
      <c r="O405" s="6">
        <v>0</v>
      </c>
      <c r="P405" s="6">
        <v>0</v>
      </c>
      <c r="Q405" s="6">
        <v>48463</v>
      </c>
      <c r="R405" s="7">
        <v>0</v>
      </c>
      <c r="S405" s="26">
        <f t="shared" si="177"/>
        <v>1</v>
      </c>
      <c r="T405" s="27" t="str">
        <f t="shared" si="178"/>
        <v xml:space="preserve"> </v>
      </c>
      <c r="U405" s="27" t="str">
        <f t="shared" si="179"/>
        <v xml:space="preserve"> </v>
      </c>
      <c r="V405" s="27">
        <f t="shared" si="180"/>
        <v>1</v>
      </c>
      <c r="W405" s="27" t="str">
        <f t="shared" si="180"/>
        <v xml:space="preserve"> </v>
      </c>
    </row>
    <row r="406" spans="1:23" ht="63" customHeight="1" x14ac:dyDescent="0.2">
      <c r="A406" s="72">
        <v>1120</v>
      </c>
      <c r="B406" s="76">
        <v>31004</v>
      </c>
      <c r="C406" s="1" t="s">
        <v>96</v>
      </c>
      <c r="D406" s="5">
        <f t="shared" si="226"/>
        <v>1710000</v>
      </c>
      <c r="E406" s="6">
        <v>271250</v>
      </c>
      <c r="F406" s="6">
        <v>1358500</v>
      </c>
      <c r="G406" s="6">
        <v>80250</v>
      </c>
      <c r="H406" s="7">
        <v>0</v>
      </c>
      <c r="I406" s="5">
        <f t="shared" si="225"/>
        <v>1256903</v>
      </c>
      <c r="J406" s="6">
        <v>1066980</v>
      </c>
      <c r="K406" s="6">
        <v>189673</v>
      </c>
      <c r="L406" s="6">
        <v>250</v>
      </c>
      <c r="M406" s="7">
        <v>0</v>
      </c>
      <c r="N406" s="5">
        <f t="shared" si="224"/>
        <v>1091851.53</v>
      </c>
      <c r="O406" s="6">
        <v>1005780.6</v>
      </c>
      <c r="P406" s="6">
        <v>86070.93</v>
      </c>
      <c r="Q406" s="6"/>
      <c r="R406" s="7">
        <v>0</v>
      </c>
      <c r="S406" s="26">
        <f t="shared" si="177"/>
        <v>0.86868400345929642</v>
      </c>
      <c r="T406" s="27">
        <f t="shared" si="178"/>
        <v>0.94264241129168302</v>
      </c>
      <c r="U406" s="27">
        <f t="shared" si="179"/>
        <v>0.45378588412689203</v>
      </c>
      <c r="V406" s="27">
        <f t="shared" si="180"/>
        <v>0</v>
      </c>
      <c r="W406" s="27" t="str">
        <f t="shared" si="180"/>
        <v xml:space="preserve"> </v>
      </c>
    </row>
    <row r="407" spans="1:23" ht="109.5" customHeight="1" x14ac:dyDescent="0.2">
      <c r="A407" s="72">
        <v>1120</v>
      </c>
      <c r="B407" s="76">
        <v>31005</v>
      </c>
      <c r="C407" s="1" t="s">
        <v>93</v>
      </c>
      <c r="D407" s="5">
        <f t="shared" si="226"/>
        <v>52480.9</v>
      </c>
      <c r="E407" s="6">
        <v>0</v>
      </c>
      <c r="F407" s="6">
        <v>46652</v>
      </c>
      <c r="G407" s="6">
        <v>0</v>
      </c>
      <c r="H407" s="7">
        <v>5828.9</v>
      </c>
      <c r="I407" s="5">
        <f t="shared" si="225"/>
        <v>52480.9</v>
      </c>
      <c r="J407" s="6">
        <v>0</v>
      </c>
      <c r="K407" s="6">
        <v>46652</v>
      </c>
      <c r="L407" s="6">
        <v>0</v>
      </c>
      <c r="M407" s="7">
        <v>5828.9</v>
      </c>
      <c r="N407" s="5">
        <f t="shared" si="224"/>
        <v>22338.44</v>
      </c>
      <c r="O407" s="6">
        <v>0</v>
      </c>
      <c r="P407" s="6">
        <v>22338.44</v>
      </c>
      <c r="Q407" s="6">
        <v>0</v>
      </c>
      <c r="R407" s="7"/>
      <c r="S407" s="26">
        <f t="shared" ref="S407:S470" si="227">IF(I407=0," ",N407/I407)</f>
        <v>0.42564895038004297</v>
      </c>
      <c r="T407" s="27" t="str">
        <f t="shared" ref="T407:T470" si="228">IF(J407=0," ",O407/J407)</f>
        <v xml:space="preserve"> </v>
      </c>
      <c r="U407" s="27">
        <f t="shared" ref="U407:U470" si="229">IF(K407=0," ",P407/K407)</f>
        <v>0.47883134699476976</v>
      </c>
      <c r="V407" s="27" t="str">
        <f t="shared" ref="V407:W470" si="230">IF(L407=0," ",Q407/L407)</f>
        <v xml:space="preserve"> </v>
      </c>
      <c r="W407" s="27">
        <f t="shared" si="230"/>
        <v>0</v>
      </c>
    </row>
    <row r="408" spans="1:23" ht="75.75" customHeight="1" x14ac:dyDescent="0.2">
      <c r="A408" s="72">
        <v>1120</v>
      </c>
      <c r="B408" s="76">
        <v>31006</v>
      </c>
      <c r="C408" s="1" t="s">
        <v>846</v>
      </c>
      <c r="D408" s="5">
        <f t="shared" ref="D408" si="231">SUM(E408:H408)</f>
        <v>0</v>
      </c>
      <c r="E408" s="6">
        <v>0</v>
      </c>
      <c r="F408" s="6"/>
      <c r="G408" s="6">
        <v>0</v>
      </c>
      <c r="H408" s="7"/>
      <c r="I408" s="5">
        <f t="shared" ref="I408" si="232">SUM(J408:M408)</f>
        <v>222600</v>
      </c>
      <c r="J408" s="6">
        <v>0</v>
      </c>
      <c r="K408" s="6"/>
      <c r="L408" s="6">
        <v>0</v>
      </c>
      <c r="M408" s="7">
        <v>222600</v>
      </c>
      <c r="N408" s="5">
        <f t="shared" si="224"/>
        <v>222600</v>
      </c>
      <c r="O408" s="6">
        <v>0</v>
      </c>
      <c r="P408" s="6"/>
      <c r="Q408" s="6">
        <v>0</v>
      </c>
      <c r="R408" s="7">
        <v>222600</v>
      </c>
      <c r="S408" s="26">
        <f t="shared" si="227"/>
        <v>1</v>
      </c>
      <c r="T408" s="27" t="str">
        <f t="shared" si="228"/>
        <v xml:space="preserve"> </v>
      </c>
      <c r="U408" s="27" t="str">
        <f t="shared" si="229"/>
        <v xml:space="preserve"> </v>
      </c>
      <c r="V408" s="27" t="str">
        <f t="shared" si="230"/>
        <v xml:space="preserve"> </v>
      </c>
      <c r="W408" s="27">
        <f t="shared" si="230"/>
        <v>1</v>
      </c>
    </row>
    <row r="409" spans="1:23" ht="62.25" customHeight="1" x14ac:dyDescent="0.2">
      <c r="A409" s="72">
        <v>1182</v>
      </c>
      <c r="B409" s="76">
        <v>31001</v>
      </c>
      <c r="C409" s="1" t="s">
        <v>61</v>
      </c>
      <c r="D409" s="5">
        <f t="shared" si="226"/>
        <v>40000</v>
      </c>
      <c r="E409" s="6">
        <v>0</v>
      </c>
      <c r="F409" s="6">
        <v>0</v>
      </c>
      <c r="G409" s="6">
        <v>0</v>
      </c>
      <c r="H409" s="7">
        <v>40000</v>
      </c>
      <c r="I409" s="5">
        <f t="shared" si="225"/>
        <v>440711.3</v>
      </c>
      <c r="J409" s="6">
        <v>0</v>
      </c>
      <c r="K409" s="6">
        <v>0</v>
      </c>
      <c r="L409" s="6">
        <v>0</v>
      </c>
      <c r="M409" s="7">
        <v>440711.3</v>
      </c>
      <c r="N409" s="5">
        <f t="shared" si="224"/>
        <v>440191.51</v>
      </c>
      <c r="O409" s="6">
        <v>0</v>
      </c>
      <c r="P409" s="6">
        <v>0</v>
      </c>
      <c r="Q409" s="6">
        <v>0</v>
      </c>
      <c r="R409" s="7">
        <v>440191.51</v>
      </c>
      <c r="S409" s="26">
        <f t="shared" si="227"/>
        <v>0.9988205657535898</v>
      </c>
      <c r="T409" s="27" t="str">
        <f t="shared" si="228"/>
        <v xml:space="preserve"> </v>
      </c>
      <c r="U409" s="27" t="str">
        <f t="shared" si="229"/>
        <v xml:space="preserve"> </v>
      </c>
      <c r="V409" s="27" t="str">
        <f t="shared" si="230"/>
        <v xml:space="preserve"> </v>
      </c>
      <c r="W409" s="27">
        <f t="shared" si="230"/>
        <v>0.9988205657535898</v>
      </c>
    </row>
    <row r="410" spans="1:23" ht="50.25" customHeight="1" x14ac:dyDescent="0.2">
      <c r="A410" s="72">
        <v>1228</v>
      </c>
      <c r="B410" s="76">
        <v>31001</v>
      </c>
      <c r="C410" s="1" t="s">
        <v>47</v>
      </c>
      <c r="D410" s="5">
        <f>SUM(E410:H410)</f>
        <v>1000000</v>
      </c>
      <c r="E410" s="6">
        <f>E412</f>
        <v>1000000</v>
      </c>
      <c r="F410" s="6">
        <f t="shared" ref="F410:H410" si="233">F412</f>
        <v>0</v>
      </c>
      <c r="G410" s="6">
        <f t="shared" si="233"/>
        <v>0</v>
      </c>
      <c r="H410" s="7">
        <f t="shared" si="233"/>
        <v>0</v>
      </c>
      <c r="I410" s="5">
        <f>SUM(J410:M410)</f>
        <v>10462</v>
      </c>
      <c r="J410" s="6">
        <f>J412</f>
        <v>0</v>
      </c>
      <c r="K410" s="6">
        <f t="shared" ref="K410:M410" si="234">K412</f>
        <v>0</v>
      </c>
      <c r="L410" s="6">
        <f t="shared" si="234"/>
        <v>10462</v>
      </c>
      <c r="M410" s="7">
        <f t="shared" si="234"/>
        <v>0</v>
      </c>
      <c r="N410" s="5">
        <f t="shared" si="224"/>
        <v>10462</v>
      </c>
      <c r="O410" s="6">
        <f>O412</f>
        <v>0</v>
      </c>
      <c r="P410" s="6">
        <f t="shared" ref="P410:R410" si="235">P412</f>
        <v>0</v>
      </c>
      <c r="Q410" s="6">
        <f t="shared" si="235"/>
        <v>10462</v>
      </c>
      <c r="R410" s="7">
        <f t="shared" si="235"/>
        <v>0</v>
      </c>
      <c r="S410" s="26">
        <f t="shared" si="227"/>
        <v>1</v>
      </c>
      <c r="T410" s="27" t="str">
        <f t="shared" si="228"/>
        <v xml:space="preserve"> </v>
      </c>
      <c r="U410" s="27" t="str">
        <f t="shared" si="229"/>
        <v xml:space="preserve"> </v>
      </c>
      <c r="V410" s="27">
        <f t="shared" si="230"/>
        <v>1</v>
      </c>
      <c r="W410" s="27" t="str">
        <f t="shared" si="230"/>
        <v xml:space="preserve"> </v>
      </c>
    </row>
    <row r="411" spans="1:23" ht="30" customHeight="1" x14ac:dyDescent="0.2">
      <c r="A411" s="74"/>
      <c r="B411" s="75"/>
      <c r="C411" s="2" t="s">
        <v>10</v>
      </c>
      <c r="D411" s="35"/>
      <c r="E411" s="36"/>
      <c r="F411" s="36"/>
      <c r="G411" s="36"/>
      <c r="H411" s="37"/>
      <c r="I411" s="35"/>
      <c r="J411" s="36"/>
      <c r="K411" s="36"/>
      <c r="L411" s="36"/>
      <c r="M411" s="37"/>
      <c r="N411" s="35"/>
      <c r="O411" s="36"/>
      <c r="P411" s="36"/>
      <c r="Q411" s="36"/>
      <c r="R411" s="37"/>
      <c r="S411" s="29" t="str">
        <f t="shared" si="227"/>
        <v xml:space="preserve"> </v>
      </c>
      <c r="T411" s="30" t="str">
        <f t="shared" si="228"/>
        <v xml:space="preserve"> </v>
      </c>
      <c r="U411" s="30" t="str">
        <f t="shared" si="229"/>
        <v xml:space="preserve"> </v>
      </c>
      <c r="V411" s="30" t="str">
        <f t="shared" si="230"/>
        <v xml:space="preserve"> </v>
      </c>
      <c r="W411" s="30" t="str">
        <f t="shared" si="230"/>
        <v xml:space="preserve"> </v>
      </c>
    </row>
    <row r="412" spans="1:23" ht="128.25" customHeight="1" x14ac:dyDescent="0.2">
      <c r="A412" s="74"/>
      <c r="B412" s="75"/>
      <c r="C412" s="4" t="s">
        <v>117</v>
      </c>
      <c r="D412" s="35">
        <f>SUM(E412:H412)</f>
        <v>1000000</v>
      </c>
      <c r="E412" s="36">
        <v>1000000</v>
      </c>
      <c r="F412" s="36"/>
      <c r="G412" s="36"/>
      <c r="H412" s="37"/>
      <c r="I412" s="35">
        <f>SUM(J412:M412)</f>
        <v>10462</v>
      </c>
      <c r="J412" s="36"/>
      <c r="K412" s="36"/>
      <c r="L412" s="36">
        <v>10462</v>
      </c>
      <c r="M412" s="37"/>
      <c r="N412" s="35">
        <f>SUM(O412:R412)</f>
        <v>10462</v>
      </c>
      <c r="O412" s="36"/>
      <c r="P412" s="36"/>
      <c r="Q412" s="36">
        <v>10462</v>
      </c>
      <c r="R412" s="37"/>
      <c r="S412" s="29">
        <f t="shared" si="227"/>
        <v>1</v>
      </c>
      <c r="T412" s="30" t="str">
        <f t="shared" si="228"/>
        <v xml:space="preserve"> </v>
      </c>
      <c r="U412" s="30" t="str">
        <f t="shared" si="229"/>
        <v xml:space="preserve"> </v>
      </c>
      <c r="V412" s="30">
        <f t="shared" si="230"/>
        <v>1</v>
      </c>
      <c r="W412" s="30" t="str">
        <f t="shared" si="230"/>
        <v xml:space="preserve"> </v>
      </c>
    </row>
    <row r="413" spans="1:23" ht="51" customHeight="1" x14ac:dyDescent="0.2">
      <c r="A413" s="72">
        <v>1228</v>
      </c>
      <c r="B413" s="76">
        <v>31002</v>
      </c>
      <c r="C413" s="1" t="s">
        <v>48</v>
      </c>
      <c r="D413" s="5">
        <f>SUM(D415:D416)</f>
        <v>500000</v>
      </c>
      <c r="E413" s="6">
        <f>SUM(E415:E418)</f>
        <v>485310</v>
      </c>
      <c r="F413" s="6">
        <f t="shared" ref="F413:R413" si="236">SUM(F415:F418)</f>
        <v>0</v>
      </c>
      <c r="G413" s="6">
        <f t="shared" si="236"/>
        <v>14690</v>
      </c>
      <c r="H413" s="7">
        <f t="shared" si="236"/>
        <v>0</v>
      </c>
      <c r="I413" s="5">
        <f t="shared" si="236"/>
        <v>511851.6</v>
      </c>
      <c r="J413" s="6">
        <f t="shared" si="236"/>
        <v>0</v>
      </c>
      <c r="K413" s="6">
        <f t="shared" si="236"/>
        <v>507051.6</v>
      </c>
      <c r="L413" s="6">
        <f t="shared" si="236"/>
        <v>4800</v>
      </c>
      <c r="M413" s="7">
        <f t="shared" si="236"/>
        <v>0</v>
      </c>
      <c r="N413" s="5">
        <f t="shared" si="236"/>
        <v>253957.72999999998</v>
      </c>
      <c r="O413" s="6">
        <f t="shared" si="236"/>
        <v>0</v>
      </c>
      <c r="P413" s="6">
        <f t="shared" si="236"/>
        <v>249157.72999999998</v>
      </c>
      <c r="Q413" s="6">
        <f t="shared" si="236"/>
        <v>4800</v>
      </c>
      <c r="R413" s="7">
        <f t="shared" si="236"/>
        <v>0</v>
      </c>
      <c r="S413" s="26">
        <f t="shared" si="227"/>
        <v>0.49615499883169262</v>
      </c>
      <c r="T413" s="27" t="str">
        <f t="shared" si="228"/>
        <v xml:space="preserve"> </v>
      </c>
      <c r="U413" s="27">
        <f t="shared" si="229"/>
        <v>0.49138535407441764</v>
      </c>
      <c r="V413" s="27">
        <f t="shared" si="230"/>
        <v>1</v>
      </c>
      <c r="W413" s="27" t="str">
        <f t="shared" si="230"/>
        <v xml:space="preserve"> </v>
      </c>
    </row>
    <row r="414" spans="1:23" ht="32.25" customHeight="1" x14ac:dyDescent="0.2">
      <c r="A414" s="72"/>
      <c r="B414" s="76"/>
      <c r="C414" s="2" t="s">
        <v>10</v>
      </c>
      <c r="D414" s="5"/>
      <c r="E414" s="6"/>
      <c r="F414" s="6"/>
      <c r="G414" s="6"/>
      <c r="H414" s="7"/>
      <c r="I414" s="5"/>
      <c r="J414" s="6"/>
      <c r="K414" s="6"/>
      <c r="L414" s="6"/>
      <c r="M414" s="7"/>
      <c r="N414" s="5"/>
      <c r="O414" s="6"/>
      <c r="P414" s="6"/>
      <c r="Q414" s="6"/>
      <c r="R414" s="7"/>
      <c r="S414" s="29" t="str">
        <f t="shared" si="227"/>
        <v xml:space="preserve"> </v>
      </c>
      <c r="T414" s="30" t="str">
        <f t="shared" si="228"/>
        <v xml:space="preserve"> </v>
      </c>
      <c r="U414" s="30" t="str">
        <f t="shared" si="229"/>
        <v xml:space="preserve"> </v>
      </c>
      <c r="V414" s="30" t="str">
        <f t="shared" si="230"/>
        <v xml:space="preserve"> </v>
      </c>
      <c r="W414" s="30" t="str">
        <f t="shared" si="230"/>
        <v xml:space="preserve"> </v>
      </c>
    </row>
    <row r="415" spans="1:23" ht="126" customHeight="1" x14ac:dyDescent="0.2">
      <c r="A415" s="74"/>
      <c r="B415" s="75"/>
      <c r="C415" s="4" t="s">
        <v>118</v>
      </c>
      <c r="D415" s="35">
        <f>SUM(E415:H415)</f>
        <v>500000</v>
      </c>
      <c r="E415" s="36">
        <v>485310</v>
      </c>
      <c r="F415" s="36"/>
      <c r="G415" s="36">
        <v>14690</v>
      </c>
      <c r="H415" s="37"/>
      <c r="I415" s="35">
        <f>SUM(J415:M415)</f>
        <v>0</v>
      </c>
      <c r="J415" s="36"/>
      <c r="K415" s="36"/>
      <c r="L415" s="36"/>
      <c r="M415" s="37"/>
      <c r="N415" s="35">
        <f>SUM(O415:R415)</f>
        <v>0</v>
      </c>
      <c r="O415" s="36"/>
      <c r="P415" s="36"/>
      <c r="Q415" s="36"/>
      <c r="R415" s="37"/>
      <c r="S415" s="29" t="str">
        <f t="shared" si="227"/>
        <v xml:space="preserve"> </v>
      </c>
      <c r="T415" s="30" t="str">
        <f t="shared" si="228"/>
        <v xml:space="preserve"> </v>
      </c>
      <c r="U415" s="30" t="str">
        <f t="shared" si="229"/>
        <v xml:space="preserve"> </v>
      </c>
      <c r="V415" s="30" t="str">
        <f t="shared" si="230"/>
        <v xml:space="preserve"> </v>
      </c>
      <c r="W415" s="30" t="str">
        <f t="shared" si="230"/>
        <v xml:space="preserve"> </v>
      </c>
    </row>
    <row r="416" spans="1:23" ht="128.25" customHeight="1" x14ac:dyDescent="0.2">
      <c r="A416" s="74"/>
      <c r="B416" s="75"/>
      <c r="C416" s="4" t="s">
        <v>215</v>
      </c>
      <c r="D416" s="35">
        <f>SUM(E416:H416)</f>
        <v>0</v>
      </c>
      <c r="E416" s="36"/>
      <c r="F416" s="36"/>
      <c r="G416" s="36"/>
      <c r="H416" s="37"/>
      <c r="I416" s="35">
        <f>SUM(J416:M416)</f>
        <v>4800</v>
      </c>
      <c r="J416" s="36"/>
      <c r="K416" s="36"/>
      <c r="L416" s="36">
        <v>4800</v>
      </c>
      <c r="M416" s="37"/>
      <c r="N416" s="35">
        <f>SUM(O416:R416)</f>
        <v>4800</v>
      </c>
      <c r="O416" s="36"/>
      <c r="P416" s="36"/>
      <c r="Q416" s="36">
        <v>4800</v>
      </c>
      <c r="R416" s="37"/>
      <c r="S416" s="29">
        <f t="shared" si="227"/>
        <v>1</v>
      </c>
      <c r="T416" s="30" t="str">
        <f t="shared" si="228"/>
        <v xml:space="preserve"> </v>
      </c>
      <c r="U416" s="30" t="str">
        <f t="shared" si="229"/>
        <v xml:space="preserve"> </v>
      </c>
      <c r="V416" s="30">
        <f t="shared" si="230"/>
        <v>1</v>
      </c>
      <c r="W416" s="30" t="str">
        <f t="shared" si="230"/>
        <v xml:space="preserve"> </v>
      </c>
    </row>
    <row r="417" spans="1:23" ht="60" customHeight="1" x14ac:dyDescent="0.2">
      <c r="A417" s="74"/>
      <c r="B417" s="75"/>
      <c r="C417" s="4" t="s">
        <v>816</v>
      </c>
      <c r="D417" s="35">
        <f t="shared" ref="D417:D418" si="237">SUM(E417:H417)</f>
        <v>0</v>
      </c>
      <c r="E417" s="36"/>
      <c r="F417" s="36"/>
      <c r="G417" s="36"/>
      <c r="H417" s="37"/>
      <c r="I417" s="35">
        <f t="shared" ref="I417:I418" si="238">SUM(J417:M417)</f>
        <v>349786.3</v>
      </c>
      <c r="J417" s="36"/>
      <c r="K417" s="36">
        <v>349786.3</v>
      </c>
      <c r="L417" s="36"/>
      <c r="M417" s="37"/>
      <c r="N417" s="35">
        <f t="shared" ref="N417:N418" si="239">SUM(O417:R417)</f>
        <v>91892.43</v>
      </c>
      <c r="O417" s="36"/>
      <c r="P417" s="36">
        <v>91892.43</v>
      </c>
      <c r="Q417" s="36"/>
      <c r="R417" s="37"/>
      <c r="S417" s="29">
        <f t="shared" si="227"/>
        <v>0.26271020334415612</v>
      </c>
      <c r="T417" s="30" t="str">
        <f t="shared" si="228"/>
        <v xml:space="preserve"> </v>
      </c>
      <c r="U417" s="30">
        <f t="shared" si="229"/>
        <v>0.26271020334415612</v>
      </c>
      <c r="V417" s="30" t="str">
        <f t="shared" si="230"/>
        <v xml:space="preserve"> </v>
      </c>
      <c r="W417" s="30" t="str">
        <f t="shared" si="230"/>
        <v xml:space="preserve"> </v>
      </c>
    </row>
    <row r="418" spans="1:23" ht="62.25" customHeight="1" x14ac:dyDescent="0.2">
      <c r="A418" s="74"/>
      <c r="B418" s="75"/>
      <c r="C418" s="4" t="s">
        <v>817</v>
      </c>
      <c r="D418" s="35">
        <f t="shared" si="237"/>
        <v>0</v>
      </c>
      <c r="E418" s="36"/>
      <c r="F418" s="36"/>
      <c r="G418" s="36"/>
      <c r="H418" s="37"/>
      <c r="I418" s="35">
        <f t="shared" si="238"/>
        <v>157265.29999999999</v>
      </c>
      <c r="J418" s="36"/>
      <c r="K418" s="36">
        <v>157265.29999999999</v>
      </c>
      <c r="L418" s="36"/>
      <c r="M418" s="37"/>
      <c r="N418" s="35">
        <f t="shared" si="239"/>
        <v>157265.29999999999</v>
      </c>
      <c r="O418" s="36"/>
      <c r="P418" s="36">
        <v>157265.29999999999</v>
      </c>
      <c r="Q418" s="36"/>
      <c r="R418" s="37"/>
      <c r="S418" s="29">
        <f t="shared" si="227"/>
        <v>1</v>
      </c>
      <c r="T418" s="30" t="str">
        <f t="shared" si="228"/>
        <v xml:space="preserve"> </v>
      </c>
      <c r="U418" s="30">
        <f t="shared" si="229"/>
        <v>1</v>
      </c>
      <c r="V418" s="30" t="str">
        <f t="shared" si="230"/>
        <v xml:space="preserve"> </v>
      </c>
      <c r="W418" s="30" t="str">
        <f t="shared" si="230"/>
        <v xml:space="preserve"> </v>
      </c>
    </row>
    <row r="419" spans="1:23" ht="66.75" customHeight="1" x14ac:dyDescent="0.2">
      <c r="A419" s="72">
        <v>1228</v>
      </c>
      <c r="B419" s="76">
        <v>31003</v>
      </c>
      <c r="C419" s="1" t="s">
        <v>218</v>
      </c>
      <c r="D419" s="5">
        <f>SUM(E419:H419)</f>
        <v>0</v>
      </c>
      <c r="E419" s="6">
        <v>0</v>
      </c>
      <c r="F419" s="6">
        <v>0</v>
      </c>
      <c r="G419" s="6">
        <v>0</v>
      </c>
      <c r="H419" s="7"/>
      <c r="I419" s="5">
        <f t="shared" ref="I419:I421" si="240">SUM(J419:M419)</f>
        <v>409385.1</v>
      </c>
      <c r="J419" s="6">
        <v>0</v>
      </c>
      <c r="K419" s="6">
        <v>0</v>
      </c>
      <c r="L419" s="6">
        <v>0</v>
      </c>
      <c r="M419" s="7">
        <v>409385.1</v>
      </c>
      <c r="N419" s="5">
        <f>SUM(O419:R419)</f>
        <v>310030.94</v>
      </c>
      <c r="O419" s="6">
        <v>0</v>
      </c>
      <c r="P419" s="6">
        <v>0</v>
      </c>
      <c r="Q419" s="6">
        <v>0</v>
      </c>
      <c r="R419" s="7">
        <v>310030.94</v>
      </c>
      <c r="S419" s="26">
        <f t="shared" si="227"/>
        <v>0.75730880288510749</v>
      </c>
      <c r="T419" s="27" t="str">
        <f t="shared" si="228"/>
        <v xml:space="preserve"> </v>
      </c>
      <c r="U419" s="27" t="str">
        <f t="shared" si="229"/>
        <v xml:space="preserve"> </v>
      </c>
      <c r="V419" s="27" t="str">
        <f t="shared" si="230"/>
        <v xml:space="preserve"> </v>
      </c>
      <c r="W419" s="27">
        <f t="shared" si="230"/>
        <v>0.75730880288510749</v>
      </c>
    </row>
    <row r="420" spans="1:23" ht="60.75" customHeight="1" x14ac:dyDescent="0.2">
      <c r="A420" s="72">
        <v>1228</v>
      </c>
      <c r="B420" s="76">
        <v>31005</v>
      </c>
      <c r="C420" s="1" t="s">
        <v>217</v>
      </c>
      <c r="D420" s="5">
        <f t="shared" ref="D420:D421" si="241">SUM(E420:H420)</f>
        <v>0</v>
      </c>
      <c r="E420" s="6">
        <v>0</v>
      </c>
      <c r="F420" s="6">
        <v>0</v>
      </c>
      <c r="G420" s="6">
        <v>0</v>
      </c>
      <c r="H420" s="7"/>
      <c r="I420" s="5">
        <f t="shared" si="240"/>
        <v>69500</v>
      </c>
      <c r="J420" s="6">
        <v>0</v>
      </c>
      <c r="K420" s="6">
        <v>0</v>
      </c>
      <c r="L420" s="6">
        <v>0</v>
      </c>
      <c r="M420" s="7">
        <v>69500</v>
      </c>
      <c r="N420" s="5">
        <f>SUM(O420:R420)</f>
        <v>69500</v>
      </c>
      <c r="O420" s="6">
        <v>0</v>
      </c>
      <c r="P420" s="6">
        <v>0</v>
      </c>
      <c r="Q420" s="6">
        <v>0</v>
      </c>
      <c r="R420" s="7">
        <v>69500</v>
      </c>
      <c r="S420" s="26">
        <f t="shared" si="227"/>
        <v>1</v>
      </c>
      <c r="T420" s="27" t="str">
        <f t="shared" si="228"/>
        <v xml:space="preserve"> </v>
      </c>
      <c r="U420" s="27" t="str">
        <f t="shared" si="229"/>
        <v xml:space="preserve"> </v>
      </c>
      <c r="V420" s="27" t="str">
        <f t="shared" si="230"/>
        <v xml:space="preserve"> </v>
      </c>
      <c r="W420" s="27">
        <f t="shared" si="230"/>
        <v>1</v>
      </c>
    </row>
    <row r="421" spans="1:23" ht="60.75" customHeight="1" x14ac:dyDescent="0.2">
      <c r="A421" s="72">
        <v>1228</v>
      </c>
      <c r="B421" s="76">
        <v>31007</v>
      </c>
      <c r="C421" s="1" t="s">
        <v>216</v>
      </c>
      <c r="D421" s="5">
        <f t="shared" si="241"/>
        <v>0</v>
      </c>
      <c r="E421" s="6">
        <v>0</v>
      </c>
      <c r="F421" s="6">
        <v>0</v>
      </c>
      <c r="G421" s="6">
        <v>0</v>
      </c>
      <c r="H421" s="7"/>
      <c r="I421" s="5">
        <f t="shared" si="240"/>
        <v>520800</v>
      </c>
      <c r="J421" s="6">
        <v>0</v>
      </c>
      <c r="K421" s="6">
        <v>0</v>
      </c>
      <c r="L421" s="6">
        <v>0</v>
      </c>
      <c r="M421" s="7">
        <v>520800</v>
      </c>
      <c r="N421" s="5">
        <f>SUM(O421:R421)</f>
        <v>177800</v>
      </c>
      <c r="O421" s="6">
        <v>0</v>
      </c>
      <c r="P421" s="6">
        <v>0</v>
      </c>
      <c r="Q421" s="6">
        <v>0</v>
      </c>
      <c r="R421" s="7">
        <v>177800</v>
      </c>
      <c r="S421" s="26">
        <f t="shared" si="227"/>
        <v>0.34139784946236557</v>
      </c>
      <c r="T421" s="27" t="str">
        <f t="shared" si="228"/>
        <v xml:space="preserve"> </v>
      </c>
      <c r="U421" s="27" t="str">
        <f t="shared" si="229"/>
        <v xml:space="preserve"> </v>
      </c>
      <c r="V421" s="27" t="str">
        <f t="shared" si="230"/>
        <v xml:space="preserve"> </v>
      </c>
      <c r="W421" s="27">
        <f t="shared" si="230"/>
        <v>0.34139784946236557</v>
      </c>
    </row>
    <row r="422" spans="1:23" s="38" customFormat="1" ht="42" customHeight="1" x14ac:dyDescent="0.2">
      <c r="A422" s="72"/>
      <c r="B422" s="73"/>
      <c r="C422" s="89" t="s">
        <v>76</v>
      </c>
      <c r="D422" s="5">
        <f>SUM(D424:D425)</f>
        <v>20033.8</v>
      </c>
      <c r="E422" s="6">
        <f t="shared" ref="E422:R422" si="242">SUM(E424:E425)</f>
        <v>0</v>
      </c>
      <c r="F422" s="6">
        <f t="shared" si="242"/>
        <v>0</v>
      </c>
      <c r="G422" s="6">
        <f t="shared" si="242"/>
        <v>0</v>
      </c>
      <c r="H422" s="7">
        <f t="shared" si="242"/>
        <v>20033.8</v>
      </c>
      <c r="I422" s="5">
        <f t="shared" si="242"/>
        <v>85433.2</v>
      </c>
      <c r="J422" s="6">
        <f t="shared" si="242"/>
        <v>0</v>
      </c>
      <c r="K422" s="6">
        <f t="shared" si="242"/>
        <v>31664.2</v>
      </c>
      <c r="L422" s="6">
        <f t="shared" si="242"/>
        <v>0</v>
      </c>
      <c r="M422" s="7">
        <f t="shared" si="242"/>
        <v>53769</v>
      </c>
      <c r="N422" s="5">
        <f t="shared" si="242"/>
        <v>51661.37</v>
      </c>
      <c r="O422" s="6">
        <f t="shared" si="242"/>
        <v>0</v>
      </c>
      <c r="P422" s="6">
        <f t="shared" si="242"/>
        <v>0</v>
      </c>
      <c r="Q422" s="6">
        <f t="shared" si="242"/>
        <v>0</v>
      </c>
      <c r="R422" s="7">
        <f t="shared" si="242"/>
        <v>51661.37</v>
      </c>
      <c r="S422" s="26">
        <f t="shared" si="227"/>
        <v>0.60469899289737483</v>
      </c>
      <c r="T422" s="27" t="str">
        <f t="shared" si="228"/>
        <v xml:space="preserve"> </v>
      </c>
      <c r="U422" s="27">
        <f t="shared" si="229"/>
        <v>0</v>
      </c>
      <c r="V422" s="27" t="str">
        <f t="shared" si="230"/>
        <v xml:space="preserve"> </v>
      </c>
      <c r="W422" s="27">
        <f t="shared" si="230"/>
        <v>0.96080213505923495</v>
      </c>
    </row>
    <row r="423" spans="1:23" ht="21" customHeight="1" x14ac:dyDescent="0.2">
      <c r="A423" s="74"/>
      <c r="B423" s="75"/>
      <c r="C423" s="4" t="s">
        <v>10</v>
      </c>
      <c r="D423" s="35"/>
      <c r="E423" s="36"/>
      <c r="F423" s="36"/>
      <c r="G423" s="36"/>
      <c r="H423" s="37"/>
      <c r="I423" s="35"/>
      <c r="J423" s="36"/>
      <c r="K423" s="36"/>
      <c r="L423" s="36"/>
      <c r="M423" s="37"/>
      <c r="N423" s="35"/>
      <c r="O423" s="36"/>
      <c r="P423" s="36"/>
      <c r="Q423" s="36"/>
      <c r="R423" s="37"/>
      <c r="S423" s="29" t="str">
        <f t="shared" si="227"/>
        <v xml:space="preserve"> </v>
      </c>
      <c r="T423" s="30" t="str">
        <f t="shared" si="228"/>
        <v xml:space="preserve"> </v>
      </c>
      <c r="U423" s="30" t="str">
        <f t="shared" si="229"/>
        <v xml:space="preserve"> </v>
      </c>
      <c r="V423" s="30" t="str">
        <f t="shared" si="230"/>
        <v xml:space="preserve"> </v>
      </c>
      <c r="W423" s="30" t="str">
        <f t="shared" si="230"/>
        <v xml:space="preserve"> </v>
      </c>
    </row>
    <row r="424" spans="1:23" ht="60" customHeight="1" x14ac:dyDescent="0.2">
      <c r="A424" s="72">
        <v>1058</v>
      </c>
      <c r="B424" s="76">
        <v>31001</v>
      </c>
      <c r="C424" s="1" t="s">
        <v>77</v>
      </c>
      <c r="D424" s="5">
        <f>SUM(E424:H424)</f>
        <v>20033.8</v>
      </c>
      <c r="E424" s="6"/>
      <c r="F424" s="6"/>
      <c r="G424" s="6"/>
      <c r="H424" s="7">
        <v>20033.8</v>
      </c>
      <c r="I424" s="5">
        <f>SUM(J424:M424)</f>
        <v>53769</v>
      </c>
      <c r="J424" s="6"/>
      <c r="K424" s="6"/>
      <c r="L424" s="6"/>
      <c r="M424" s="7">
        <v>53769</v>
      </c>
      <c r="N424" s="5">
        <f>SUM(O424:R424)</f>
        <v>51661.37</v>
      </c>
      <c r="O424" s="6"/>
      <c r="P424" s="6"/>
      <c r="Q424" s="6"/>
      <c r="R424" s="7">
        <v>51661.37</v>
      </c>
      <c r="S424" s="26">
        <f t="shared" si="227"/>
        <v>0.96080213505923495</v>
      </c>
      <c r="T424" s="27" t="str">
        <f t="shared" si="228"/>
        <v xml:space="preserve"> </v>
      </c>
      <c r="U424" s="27" t="str">
        <f t="shared" si="229"/>
        <v xml:space="preserve"> </v>
      </c>
      <c r="V424" s="27" t="str">
        <f t="shared" si="230"/>
        <v xml:space="preserve"> </v>
      </c>
      <c r="W424" s="27">
        <f t="shared" si="230"/>
        <v>0.96080213505923495</v>
      </c>
    </row>
    <row r="425" spans="1:23" ht="56.25" customHeight="1" x14ac:dyDescent="0.2">
      <c r="A425" s="72">
        <v>1058</v>
      </c>
      <c r="B425" s="76">
        <v>31002</v>
      </c>
      <c r="C425" s="1" t="s">
        <v>191</v>
      </c>
      <c r="D425" s="5">
        <f>SUM(E425:H425)</f>
        <v>0</v>
      </c>
      <c r="E425" s="6"/>
      <c r="F425" s="6"/>
      <c r="G425" s="6"/>
      <c r="H425" s="7"/>
      <c r="I425" s="5">
        <f>SUM(J425:M425)</f>
        <v>31664.2</v>
      </c>
      <c r="J425" s="6"/>
      <c r="K425" s="6">
        <v>31664.2</v>
      </c>
      <c r="L425" s="6"/>
      <c r="M425" s="7"/>
      <c r="N425" s="5">
        <f>SUM(O425:R425)</f>
        <v>0</v>
      </c>
      <c r="O425" s="6"/>
      <c r="P425" s="6"/>
      <c r="Q425" s="6"/>
      <c r="R425" s="7"/>
      <c r="S425" s="26">
        <f t="shared" si="227"/>
        <v>0</v>
      </c>
      <c r="T425" s="27" t="str">
        <f t="shared" si="228"/>
        <v xml:space="preserve"> </v>
      </c>
      <c r="U425" s="27">
        <f t="shared" si="229"/>
        <v>0</v>
      </c>
      <c r="V425" s="27" t="str">
        <f t="shared" si="230"/>
        <v xml:space="preserve"> </v>
      </c>
      <c r="W425" s="27" t="str">
        <f t="shared" si="230"/>
        <v xml:space="preserve"> </v>
      </c>
    </row>
    <row r="426" spans="1:23" s="38" customFormat="1" ht="44.25" customHeight="1" x14ac:dyDescent="0.2">
      <c r="A426" s="72"/>
      <c r="B426" s="73"/>
      <c r="C426" s="89" t="s">
        <v>176</v>
      </c>
      <c r="D426" s="5">
        <f>D428</f>
        <v>38900</v>
      </c>
      <c r="E426" s="6">
        <f t="shared" ref="E426:H426" si="243">E428</f>
        <v>0</v>
      </c>
      <c r="F426" s="6">
        <f t="shared" si="243"/>
        <v>0</v>
      </c>
      <c r="G426" s="6">
        <f t="shared" si="243"/>
        <v>0</v>
      </c>
      <c r="H426" s="7">
        <f t="shared" si="243"/>
        <v>38900</v>
      </c>
      <c r="I426" s="5">
        <f>I428</f>
        <v>44330</v>
      </c>
      <c r="J426" s="6">
        <f t="shared" ref="J426:M426" si="244">J428</f>
        <v>0</v>
      </c>
      <c r="K426" s="6">
        <f t="shared" si="244"/>
        <v>0</v>
      </c>
      <c r="L426" s="6">
        <f t="shared" si="244"/>
        <v>0</v>
      </c>
      <c r="M426" s="7">
        <f t="shared" si="244"/>
        <v>44330</v>
      </c>
      <c r="N426" s="5">
        <f>N428</f>
        <v>43574.87</v>
      </c>
      <c r="O426" s="6">
        <f t="shared" ref="O426:R426" si="245">O428</f>
        <v>0</v>
      </c>
      <c r="P426" s="6">
        <f t="shared" si="245"/>
        <v>0</v>
      </c>
      <c r="Q426" s="6">
        <f t="shared" si="245"/>
        <v>0</v>
      </c>
      <c r="R426" s="7">
        <f t="shared" si="245"/>
        <v>43574.87</v>
      </c>
      <c r="S426" s="26">
        <f t="shared" si="227"/>
        <v>0.98296571170764724</v>
      </c>
      <c r="T426" s="27" t="str">
        <f t="shared" si="228"/>
        <v xml:space="preserve"> </v>
      </c>
      <c r="U426" s="27" t="str">
        <f t="shared" si="229"/>
        <v xml:space="preserve"> </v>
      </c>
      <c r="V426" s="27" t="str">
        <f t="shared" si="230"/>
        <v xml:space="preserve"> </v>
      </c>
      <c r="W426" s="27">
        <f t="shared" si="230"/>
        <v>0.98296571170764724</v>
      </c>
    </row>
    <row r="427" spans="1:23" ht="24.75" customHeight="1" x14ac:dyDescent="0.2">
      <c r="A427" s="74"/>
      <c r="B427" s="75"/>
      <c r="C427" s="4" t="s">
        <v>10</v>
      </c>
      <c r="D427" s="35"/>
      <c r="E427" s="36"/>
      <c r="F427" s="36"/>
      <c r="G427" s="36"/>
      <c r="H427" s="37"/>
      <c r="I427" s="35"/>
      <c r="J427" s="36"/>
      <c r="K427" s="36"/>
      <c r="L427" s="36"/>
      <c r="M427" s="37"/>
      <c r="N427" s="35"/>
      <c r="O427" s="36"/>
      <c r="P427" s="36"/>
      <c r="Q427" s="36"/>
      <c r="R427" s="37"/>
      <c r="S427" s="26" t="str">
        <f t="shared" si="227"/>
        <v xml:space="preserve"> </v>
      </c>
      <c r="T427" s="27" t="str">
        <f t="shared" si="228"/>
        <v xml:space="preserve"> </v>
      </c>
      <c r="U427" s="27" t="str">
        <f t="shared" si="229"/>
        <v xml:space="preserve"> </v>
      </c>
      <c r="V427" s="27" t="str">
        <f t="shared" si="230"/>
        <v xml:space="preserve"> </v>
      </c>
      <c r="W427" s="27" t="str">
        <f t="shared" si="230"/>
        <v xml:space="preserve"> </v>
      </c>
    </row>
    <row r="428" spans="1:23" ht="77.25" customHeight="1" x14ac:dyDescent="0.2">
      <c r="A428" s="72">
        <v>1061</v>
      </c>
      <c r="B428" s="76">
        <v>31001</v>
      </c>
      <c r="C428" s="1" t="s">
        <v>177</v>
      </c>
      <c r="D428" s="5">
        <f t="shared" ref="D428" si="246">SUM(E428:H428)</f>
        <v>38900</v>
      </c>
      <c r="E428" s="6">
        <v>0</v>
      </c>
      <c r="F428" s="6">
        <v>0</v>
      </c>
      <c r="G428" s="6">
        <v>0</v>
      </c>
      <c r="H428" s="7">
        <v>38900</v>
      </c>
      <c r="I428" s="5">
        <f t="shared" ref="I428" si="247">SUM(J428:M428)</f>
        <v>44330</v>
      </c>
      <c r="J428" s="6">
        <v>0</v>
      </c>
      <c r="K428" s="6">
        <v>0</v>
      </c>
      <c r="L428" s="6">
        <v>0</v>
      </c>
      <c r="M428" s="7">
        <v>44330</v>
      </c>
      <c r="N428" s="5">
        <f>SUM(O428:R428)</f>
        <v>43574.87</v>
      </c>
      <c r="O428" s="6">
        <v>0</v>
      </c>
      <c r="P428" s="6">
        <v>0</v>
      </c>
      <c r="Q428" s="6">
        <v>0</v>
      </c>
      <c r="R428" s="7">
        <v>43574.87</v>
      </c>
      <c r="S428" s="26">
        <f t="shared" si="227"/>
        <v>0.98296571170764724</v>
      </c>
      <c r="T428" s="27" t="str">
        <f t="shared" si="228"/>
        <v xml:space="preserve"> </v>
      </c>
      <c r="U428" s="27" t="str">
        <f t="shared" si="229"/>
        <v xml:space="preserve"> </v>
      </c>
      <c r="V428" s="27" t="str">
        <f t="shared" si="230"/>
        <v xml:space="preserve"> </v>
      </c>
      <c r="W428" s="27">
        <f t="shared" si="230"/>
        <v>0.98296571170764724</v>
      </c>
    </row>
    <row r="429" spans="1:23" s="38" customFormat="1" ht="37.5" customHeight="1" x14ac:dyDescent="0.2">
      <c r="A429" s="72"/>
      <c r="B429" s="73"/>
      <c r="C429" s="89" t="s">
        <v>37</v>
      </c>
      <c r="D429" s="5">
        <f>SUM(D431:D434)</f>
        <v>608749.4</v>
      </c>
      <c r="E429" s="6">
        <f t="shared" ref="E429:R429" si="248">SUM(E431:E434)</f>
        <v>0</v>
      </c>
      <c r="F429" s="6">
        <f t="shared" si="248"/>
        <v>0</v>
      </c>
      <c r="G429" s="6">
        <f t="shared" si="248"/>
        <v>188532.7</v>
      </c>
      <c r="H429" s="7">
        <f t="shared" si="248"/>
        <v>420216.7</v>
      </c>
      <c r="I429" s="5">
        <f t="shared" si="248"/>
        <v>574147.30000000005</v>
      </c>
      <c r="J429" s="6">
        <f t="shared" si="248"/>
        <v>0</v>
      </c>
      <c r="K429" s="6">
        <f t="shared" si="248"/>
        <v>0</v>
      </c>
      <c r="L429" s="6">
        <f t="shared" si="248"/>
        <v>177950</v>
      </c>
      <c r="M429" s="7">
        <f t="shared" si="248"/>
        <v>396197.3</v>
      </c>
      <c r="N429" s="5">
        <f t="shared" si="248"/>
        <v>541271.49</v>
      </c>
      <c r="O429" s="6">
        <f t="shared" si="248"/>
        <v>0</v>
      </c>
      <c r="P429" s="6">
        <f t="shared" si="248"/>
        <v>0</v>
      </c>
      <c r="Q429" s="6">
        <f t="shared" si="248"/>
        <v>173905.69</v>
      </c>
      <c r="R429" s="7">
        <f t="shared" si="248"/>
        <v>367365.80000000005</v>
      </c>
      <c r="S429" s="26">
        <f t="shared" si="227"/>
        <v>0.94273976382019031</v>
      </c>
      <c r="T429" s="27" t="str">
        <f t="shared" si="228"/>
        <v xml:space="preserve"> </v>
      </c>
      <c r="U429" s="27" t="str">
        <f t="shared" si="229"/>
        <v xml:space="preserve"> </v>
      </c>
      <c r="V429" s="27">
        <f t="shared" si="230"/>
        <v>0.97727277325091322</v>
      </c>
      <c r="W429" s="27">
        <f t="shared" si="230"/>
        <v>0.92722943846411887</v>
      </c>
    </row>
    <row r="430" spans="1:23" ht="29.25" customHeight="1" x14ac:dyDescent="0.2">
      <c r="A430" s="74"/>
      <c r="B430" s="75"/>
      <c r="C430" s="4" t="s">
        <v>10</v>
      </c>
      <c r="D430" s="35"/>
      <c r="E430" s="36"/>
      <c r="F430" s="36"/>
      <c r="G430" s="36"/>
      <c r="H430" s="37"/>
      <c r="I430" s="35"/>
      <c r="J430" s="36"/>
      <c r="K430" s="36"/>
      <c r="L430" s="36"/>
      <c r="M430" s="37"/>
      <c r="N430" s="35"/>
      <c r="O430" s="36"/>
      <c r="P430" s="36"/>
      <c r="Q430" s="36"/>
      <c r="R430" s="37"/>
      <c r="S430" s="29" t="str">
        <f t="shared" si="227"/>
        <v xml:space="preserve"> </v>
      </c>
      <c r="T430" s="30" t="str">
        <f t="shared" si="228"/>
        <v xml:space="preserve"> </v>
      </c>
      <c r="U430" s="30" t="str">
        <f t="shared" si="229"/>
        <v xml:space="preserve"> </v>
      </c>
      <c r="V430" s="30" t="str">
        <f t="shared" si="230"/>
        <v xml:space="preserve"> </v>
      </c>
      <c r="W430" s="30" t="str">
        <f t="shared" si="230"/>
        <v xml:space="preserve"> </v>
      </c>
    </row>
    <row r="431" spans="1:23" ht="64.5" customHeight="1" x14ac:dyDescent="0.2">
      <c r="A431" s="72">
        <v>1071</v>
      </c>
      <c r="B431" s="76">
        <v>31001</v>
      </c>
      <c r="C431" s="1" t="s">
        <v>78</v>
      </c>
      <c r="D431" s="5">
        <f>SUM(E431:H431)</f>
        <v>7205</v>
      </c>
      <c r="E431" s="6"/>
      <c r="F431" s="6"/>
      <c r="G431" s="6"/>
      <c r="H431" s="7">
        <v>7205</v>
      </c>
      <c r="I431" s="5">
        <f>SUM(J431:M431)</f>
        <v>7205</v>
      </c>
      <c r="J431" s="6"/>
      <c r="K431" s="6"/>
      <c r="L431" s="6"/>
      <c r="M431" s="7">
        <v>7205</v>
      </c>
      <c r="N431" s="5">
        <f>SUM(O431:R431)</f>
        <v>7083.78</v>
      </c>
      <c r="O431" s="6"/>
      <c r="P431" s="6"/>
      <c r="Q431" s="6"/>
      <c r="R431" s="7">
        <v>7083.78</v>
      </c>
      <c r="S431" s="29">
        <f t="shared" si="227"/>
        <v>0.98317557251908394</v>
      </c>
      <c r="T431" s="30" t="str">
        <f t="shared" si="228"/>
        <v xml:space="preserve"> </v>
      </c>
      <c r="U431" s="30" t="str">
        <f t="shared" si="229"/>
        <v xml:space="preserve"> </v>
      </c>
      <c r="V431" s="30" t="str">
        <f t="shared" si="230"/>
        <v xml:space="preserve"> </v>
      </c>
      <c r="W431" s="30">
        <f t="shared" si="230"/>
        <v>0.98317557251908394</v>
      </c>
    </row>
    <row r="432" spans="1:23" ht="117.75" customHeight="1" x14ac:dyDescent="0.2">
      <c r="A432" s="72">
        <v>1155</v>
      </c>
      <c r="B432" s="76">
        <v>31001</v>
      </c>
      <c r="C432" s="1" t="s">
        <v>192</v>
      </c>
      <c r="D432" s="5">
        <f>SUM(E432:H432)</f>
        <v>0</v>
      </c>
      <c r="E432" s="6"/>
      <c r="F432" s="6"/>
      <c r="G432" s="6"/>
      <c r="H432" s="7"/>
      <c r="I432" s="5">
        <f>SUM(J432:M432)</f>
        <v>1817.5</v>
      </c>
      <c r="J432" s="6"/>
      <c r="K432" s="6"/>
      <c r="L432" s="6"/>
      <c r="M432" s="7">
        <v>1817.5</v>
      </c>
      <c r="N432" s="5"/>
      <c r="O432" s="6"/>
      <c r="P432" s="6"/>
      <c r="Q432" s="6"/>
      <c r="R432" s="7"/>
      <c r="S432" s="29">
        <f t="shared" si="227"/>
        <v>0</v>
      </c>
      <c r="T432" s="30" t="str">
        <f t="shared" si="228"/>
        <v xml:space="preserve"> </v>
      </c>
      <c r="U432" s="30" t="str">
        <f t="shared" si="229"/>
        <v xml:space="preserve"> </v>
      </c>
      <c r="V432" s="30" t="str">
        <f t="shared" si="230"/>
        <v xml:space="preserve"> </v>
      </c>
      <c r="W432" s="30">
        <f t="shared" si="230"/>
        <v>0</v>
      </c>
    </row>
    <row r="433" spans="1:23" ht="48" customHeight="1" x14ac:dyDescent="0.2">
      <c r="A433" s="72">
        <v>1173</v>
      </c>
      <c r="B433" s="76">
        <v>32001</v>
      </c>
      <c r="C433" s="1" t="s">
        <v>13</v>
      </c>
      <c r="D433" s="5">
        <f>SUM(E433:H433)</f>
        <v>413011.7</v>
      </c>
      <c r="E433" s="6"/>
      <c r="F433" s="6"/>
      <c r="G433" s="6"/>
      <c r="H433" s="7">
        <v>413011.7</v>
      </c>
      <c r="I433" s="5">
        <f>SUM(J433:M433)</f>
        <v>387174.8</v>
      </c>
      <c r="J433" s="6"/>
      <c r="K433" s="6"/>
      <c r="L433" s="6"/>
      <c r="M433" s="7">
        <v>387174.8</v>
      </c>
      <c r="N433" s="5">
        <f>SUM(O433:R433)</f>
        <v>360282.02</v>
      </c>
      <c r="O433" s="6"/>
      <c r="P433" s="6"/>
      <c r="Q433" s="6"/>
      <c r="R433" s="7">
        <v>360282.02</v>
      </c>
      <c r="S433" s="29">
        <f t="shared" si="227"/>
        <v>0.93054098562199816</v>
      </c>
      <c r="T433" s="30" t="str">
        <f t="shared" si="228"/>
        <v xml:space="preserve"> </v>
      </c>
      <c r="U433" s="30" t="str">
        <f t="shared" si="229"/>
        <v xml:space="preserve"> </v>
      </c>
      <c r="V433" s="30" t="str">
        <f t="shared" si="230"/>
        <v xml:space="preserve"> </v>
      </c>
      <c r="W433" s="30">
        <f t="shared" si="230"/>
        <v>0.93054098562199816</v>
      </c>
    </row>
    <row r="434" spans="1:23" ht="44.25" customHeight="1" x14ac:dyDescent="0.2">
      <c r="A434" s="72">
        <v>1173</v>
      </c>
      <c r="B434" s="76">
        <v>32002</v>
      </c>
      <c r="C434" s="1" t="s">
        <v>39</v>
      </c>
      <c r="D434" s="5">
        <f>SUM(E434:H434)</f>
        <v>188532.7</v>
      </c>
      <c r="E434" s="6"/>
      <c r="F434" s="6"/>
      <c r="G434" s="6">
        <v>188532.7</v>
      </c>
      <c r="H434" s="7"/>
      <c r="I434" s="5">
        <f>SUM(J434:M434)</f>
        <v>177950</v>
      </c>
      <c r="J434" s="6"/>
      <c r="K434" s="6"/>
      <c r="L434" s="6">
        <v>177950</v>
      </c>
      <c r="M434" s="7"/>
      <c r="N434" s="5">
        <f>SUM(O434:R434)</f>
        <v>173905.69</v>
      </c>
      <c r="O434" s="6"/>
      <c r="P434" s="6"/>
      <c r="Q434" s="6">
        <v>173905.69</v>
      </c>
      <c r="R434" s="7"/>
      <c r="S434" s="29">
        <f t="shared" si="227"/>
        <v>0.97727277325091322</v>
      </c>
      <c r="T434" s="30" t="str">
        <f t="shared" si="228"/>
        <v xml:space="preserve"> </v>
      </c>
      <c r="U434" s="30" t="str">
        <f t="shared" si="229"/>
        <v xml:space="preserve"> </v>
      </c>
      <c r="V434" s="30">
        <f t="shared" si="230"/>
        <v>0.97727277325091322</v>
      </c>
      <c r="W434" s="30" t="str">
        <f t="shared" si="230"/>
        <v xml:space="preserve"> </v>
      </c>
    </row>
    <row r="435" spans="1:23" s="38" customFormat="1" ht="54.75" customHeight="1" x14ac:dyDescent="0.2">
      <c r="A435" s="72"/>
      <c r="B435" s="73"/>
      <c r="C435" s="89" t="s">
        <v>38</v>
      </c>
      <c r="D435" s="5">
        <f t="shared" ref="D435:M435" si="249">+D437+D438+D451+D459+D463+D493+D497+D501+D525+D529+D533+D558+D562+D563+D564+D588+D589+D630+D636+D645+D649+D657+D664+D754+D761+D807+D813+D839+D859</f>
        <v>24382321.800000001</v>
      </c>
      <c r="E435" s="6">
        <f t="shared" si="249"/>
        <v>18941161.800000001</v>
      </c>
      <c r="F435" s="6">
        <f t="shared" si="249"/>
        <v>3012300.5</v>
      </c>
      <c r="G435" s="6">
        <f t="shared" si="249"/>
        <v>33691.699999999997</v>
      </c>
      <c r="H435" s="7">
        <f t="shared" si="249"/>
        <v>2395167.7999999998</v>
      </c>
      <c r="I435" s="5">
        <f t="shared" si="249"/>
        <v>15288225.821999999</v>
      </c>
      <c r="J435" s="6">
        <f t="shared" si="249"/>
        <v>10243259.602</v>
      </c>
      <c r="K435" s="6">
        <f t="shared" si="249"/>
        <v>3607068.0999999996</v>
      </c>
      <c r="L435" s="6">
        <f t="shared" si="249"/>
        <v>136203.20000000001</v>
      </c>
      <c r="M435" s="7">
        <f t="shared" si="249"/>
        <v>1301694.92</v>
      </c>
      <c r="N435" s="5">
        <f>SUM(O435:R435)</f>
        <v>13922834.709673</v>
      </c>
      <c r="O435" s="6">
        <f>+O437+O438+O451+O459+O463+O493+O497+O501+O525+O529+O533+O558+O562+O563+O564+O588+O589+O630+O636+O645+O649+O657+O664+O754+O761+O807+O813+O839+O859</f>
        <v>9503620.8880000003</v>
      </c>
      <c r="P435" s="6">
        <f>+P437+P438+P451+P459+P463+P493+P497+P501+P525+P529+P533+P558+P562+P563+P564+P588+P589+P630+P636+P645+P649+P657+P664+P754+P761+P807+P813+P839+P859</f>
        <v>3210001.1060000001</v>
      </c>
      <c r="Q435" s="6">
        <f>+Q437+Q438+Q451+Q459+Q463+Q493+Q497+Q501+Q525+Q529+Q533+Q558+Q562+Q563+Q564+Q588+Q589+Q630+Q636+Q645+Q649+Q657+Q664+Q754+Q761+Q807+Q813+Q839+Q859</f>
        <v>99193</v>
      </c>
      <c r="R435" s="7">
        <f>+R437+R438+R451+R459+R463+R493+R497+R501+R525+R529+R533+R558+R562+R563+R564+R588+R589+R630+R636+R645+R649+R657+R664+R754+R761+R807+R813+R839+R859</f>
        <v>1110019.7156730001</v>
      </c>
      <c r="S435" s="26">
        <f t="shared" si="227"/>
        <v>0.91069002196695847</v>
      </c>
      <c r="T435" s="27">
        <f t="shared" si="228"/>
        <v>0.92779264191882971</v>
      </c>
      <c r="U435" s="27">
        <f t="shared" si="229"/>
        <v>0.88991974007920738</v>
      </c>
      <c r="V435" s="27">
        <f t="shared" si="230"/>
        <v>0.72827216981686183</v>
      </c>
      <c r="W435" s="27">
        <f t="shared" si="230"/>
        <v>0.85274951804605659</v>
      </c>
    </row>
    <row r="436" spans="1:23" ht="29.25" customHeight="1" x14ac:dyDescent="0.2">
      <c r="A436" s="74"/>
      <c r="B436" s="75"/>
      <c r="C436" s="4" t="s">
        <v>10</v>
      </c>
      <c r="D436" s="35"/>
      <c r="E436" s="36"/>
      <c r="F436" s="36"/>
      <c r="G436" s="36"/>
      <c r="H436" s="37"/>
      <c r="I436" s="35"/>
      <c r="J436" s="36"/>
      <c r="K436" s="36"/>
      <c r="L436" s="36"/>
      <c r="M436" s="37"/>
      <c r="N436" s="35"/>
      <c r="O436" s="36"/>
      <c r="P436" s="36"/>
      <c r="Q436" s="36"/>
      <c r="R436" s="37"/>
      <c r="S436" s="29" t="str">
        <f t="shared" si="227"/>
        <v xml:space="preserve"> </v>
      </c>
      <c r="T436" s="30" t="str">
        <f t="shared" si="228"/>
        <v xml:space="preserve"> </v>
      </c>
      <c r="U436" s="30" t="str">
        <f t="shared" si="229"/>
        <v xml:space="preserve"> </v>
      </c>
      <c r="V436" s="30" t="str">
        <f t="shared" si="230"/>
        <v xml:space="preserve"> </v>
      </c>
      <c r="W436" s="30" t="str">
        <f t="shared" si="230"/>
        <v xml:space="preserve"> </v>
      </c>
    </row>
    <row r="437" spans="1:23" ht="111" customHeight="1" x14ac:dyDescent="0.2">
      <c r="A437" s="72">
        <v>1041</v>
      </c>
      <c r="B437" s="76">
        <v>32001</v>
      </c>
      <c r="C437" s="1" t="s">
        <v>537</v>
      </c>
      <c r="D437" s="5">
        <f>SUM(E437:H437)</f>
        <v>0</v>
      </c>
      <c r="E437" s="6">
        <v>0</v>
      </c>
      <c r="F437" s="6">
        <v>0</v>
      </c>
      <c r="G437" s="6">
        <v>0</v>
      </c>
      <c r="H437" s="7">
        <v>0</v>
      </c>
      <c r="I437" s="5">
        <f>SUM(J437:M437)</f>
        <v>280632.21999999997</v>
      </c>
      <c r="J437" s="6">
        <v>0</v>
      </c>
      <c r="K437" s="6">
        <v>0</v>
      </c>
      <c r="L437" s="6">
        <v>0</v>
      </c>
      <c r="M437" s="7">
        <v>280632.21999999997</v>
      </c>
      <c r="N437" s="5">
        <f>SUM(O437:R437)</f>
        <v>236336.55</v>
      </c>
      <c r="O437" s="6">
        <v>0</v>
      </c>
      <c r="P437" s="6">
        <v>0</v>
      </c>
      <c r="Q437" s="6">
        <v>0</v>
      </c>
      <c r="R437" s="7">
        <v>236336.55</v>
      </c>
      <c r="S437" s="26">
        <f t="shared" si="227"/>
        <v>0.84215757549150994</v>
      </c>
      <c r="T437" s="27" t="str">
        <f t="shared" si="228"/>
        <v xml:space="preserve"> </v>
      </c>
      <c r="U437" s="27" t="str">
        <f t="shared" si="229"/>
        <v xml:space="preserve"> </v>
      </c>
      <c r="V437" s="27" t="str">
        <f t="shared" si="230"/>
        <v xml:space="preserve"> </v>
      </c>
      <c r="W437" s="27">
        <f t="shared" si="230"/>
        <v>0.84215757549150994</v>
      </c>
    </row>
    <row r="438" spans="1:23" ht="98.25" customHeight="1" x14ac:dyDescent="0.2">
      <c r="A438" s="72">
        <v>1045</v>
      </c>
      <c r="B438" s="76">
        <v>32001</v>
      </c>
      <c r="C438" s="1" t="s">
        <v>14</v>
      </c>
      <c r="D438" s="5">
        <f>SUM(E438:H438)</f>
        <v>1173974</v>
      </c>
      <c r="E438" s="6">
        <f>+E440+E442+E444+E447+E449</f>
        <v>0</v>
      </c>
      <c r="F438" s="6">
        <f>+F440+F442+F444+F447+F449</f>
        <v>1148324.6000000001</v>
      </c>
      <c r="G438" s="6">
        <f>+G440+G442+G444+G447+G449</f>
        <v>25649.4</v>
      </c>
      <c r="H438" s="7">
        <f>+H440+H442+H444+H447+H449</f>
        <v>0</v>
      </c>
      <c r="I438" s="5">
        <f>SUM(J438:M438)</f>
        <v>579440.89999999991</v>
      </c>
      <c r="J438" s="6">
        <f>+J440+J442+J444+J447+J449</f>
        <v>0</v>
      </c>
      <c r="K438" s="6">
        <f>+K440+K442+K444+K447+K449</f>
        <v>579440.89999999991</v>
      </c>
      <c r="L438" s="6">
        <f>+L440+L442+L444+L447+L449</f>
        <v>0</v>
      </c>
      <c r="M438" s="7">
        <f>+M440+M442+M444+M447+M449</f>
        <v>0</v>
      </c>
      <c r="N438" s="5">
        <f>SUM(O438:R438)</f>
        <v>515616.98</v>
      </c>
      <c r="O438" s="6">
        <f>+O440+O442+O444+O447+O449</f>
        <v>0</v>
      </c>
      <c r="P438" s="6">
        <f>+P440+P442+P444+P447+P449</f>
        <v>515616.98</v>
      </c>
      <c r="Q438" s="6">
        <f>+Q440+Q442+Q444+Q447+Q449</f>
        <v>0</v>
      </c>
      <c r="R438" s="7">
        <f>+R440+R442+R444+R447+R449</f>
        <v>0</v>
      </c>
      <c r="S438" s="26">
        <f t="shared" si="227"/>
        <v>0.88985258030629188</v>
      </c>
      <c r="T438" s="27" t="str">
        <f t="shared" si="228"/>
        <v xml:space="preserve"> </v>
      </c>
      <c r="U438" s="27">
        <f t="shared" si="229"/>
        <v>0.88985258030629188</v>
      </c>
      <c r="V438" s="27" t="str">
        <f t="shared" si="230"/>
        <v xml:space="preserve"> </v>
      </c>
      <c r="W438" s="27" t="str">
        <f t="shared" si="230"/>
        <v xml:space="preserve"> </v>
      </c>
    </row>
    <row r="439" spans="1:23" ht="16.5" x14ac:dyDescent="0.2">
      <c r="A439" s="74"/>
      <c r="B439" s="75"/>
      <c r="C439" s="4" t="s">
        <v>10</v>
      </c>
      <c r="D439" s="35"/>
      <c r="E439" s="36"/>
      <c r="F439" s="36"/>
      <c r="G439" s="36"/>
      <c r="H439" s="37"/>
      <c r="I439" s="35"/>
      <c r="J439" s="36"/>
      <c r="K439" s="36"/>
      <c r="L439" s="36"/>
      <c r="M439" s="37"/>
      <c r="N439" s="35"/>
      <c r="O439" s="36"/>
      <c r="P439" s="36"/>
      <c r="Q439" s="36"/>
      <c r="R439" s="37"/>
      <c r="S439" s="29" t="str">
        <f t="shared" si="227"/>
        <v xml:space="preserve"> </v>
      </c>
      <c r="T439" s="30" t="str">
        <f t="shared" si="228"/>
        <v xml:space="preserve"> </v>
      </c>
      <c r="U439" s="30" t="str">
        <f t="shared" si="229"/>
        <v xml:space="preserve"> </v>
      </c>
      <c r="V439" s="30" t="str">
        <f t="shared" si="230"/>
        <v xml:space="preserve"> </v>
      </c>
      <c r="W439" s="30" t="str">
        <f t="shared" si="230"/>
        <v xml:space="preserve"> </v>
      </c>
    </row>
    <row r="440" spans="1:23" s="38" customFormat="1" ht="27" customHeight="1" x14ac:dyDescent="0.2">
      <c r="A440" s="78"/>
      <c r="B440" s="79"/>
      <c r="C440" s="54" t="s">
        <v>220</v>
      </c>
      <c r="D440" s="55">
        <f t="shared" ref="D440:D445" si="250">SUM(E440:H440)</f>
        <v>25649.4</v>
      </c>
      <c r="E440" s="56">
        <f>+E441</f>
        <v>0</v>
      </c>
      <c r="F440" s="56">
        <f t="shared" ref="F440:H442" si="251">+F441</f>
        <v>0</v>
      </c>
      <c r="G440" s="56">
        <f t="shared" si="251"/>
        <v>25649.4</v>
      </c>
      <c r="H440" s="57">
        <f t="shared" si="251"/>
        <v>0</v>
      </c>
      <c r="I440" s="55">
        <f t="shared" ref="I440:I451" si="252">SUM(J440:M440)</f>
        <v>0</v>
      </c>
      <c r="J440" s="56">
        <f>+J441</f>
        <v>0</v>
      </c>
      <c r="K440" s="56">
        <f>+K441</f>
        <v>0</v>
      </c>
      <c r="L440" s="56">
        <f>+L441</f>
        <v>0</v>
      </c>
      <c r="M440" s="57">
        <f>+M441</f>
        <v>0</v>
      </c>
      <c r="N440" s="55">
        <f t="shared" ref="N440:N451" si="253">SUM(O440:R440)</f>
        <v>0</v>
      </c>
      <c r="O440" s="56">
        <f>+O441</f>
        <v>0</v>
      </c>
      <c r="P440" s="56">
        <f>+P441</f>
        <v>0</v>
      </c>
      <c r="Q440" s="56">
        <f>+Q441</f>
        <v>0</v>
      </c>
      <c r="R440" s="57">
        <f>+R441</f>
        <v>0</v>
      </c>
      <c r="S440" s="26" t="str">
        <f t="shared" si="227"/>
        <v xml:space="preserve"> </v>
      </c>
      <c r="T440" s="27" t="str">
        <f t="shared" si="228"/>
        <v xml:space="preserve"> </v>
      </c>
      <c r="U440" s="27" t="str">
        <f t="shared" si="229"/>
        <v xml:space="preserve"> </v>
      </c>
      <c r="V440" s="27" t="str">
        <f t="shared" si="230"/>
        <v xml:space="preserve"> </v>
      </c>
      <c r="W440" s="27" t="str">
        <f t="shared" si="230"/>
        <v xml:space="preserve"> </v>
      </c>
    </row>
    <row r="441" spans="1:23" ht="49.5" customHeight="1" x14ac:dyDescent="0.2">
      <c r="A441" s="74"/>
      <c r="B441" s="75"/>
      <c r="C441" s="4" t="s">
        <v>98</v>
      </c>
      <c r="D441" s="35">
        <f t="shared" si="250"/>
        <v>25649.4</v>
      </c>
      <c r="E441" s="36"/>
      <c r="F441" s="36"/>
      <c r="G441" s="36">
        <v>25649.4</v>
      </c>
      <c r="H441" s="37"/>
      <c r="I441" s="35">
        <f t="shared" si="252"/>
        <v>0</v>
      </c>
      <c r="J441" s="36"/>
      <c r="K441" s="36"/>
      <c r="L441" s="36">
        <v>0</v>
      </c>
      <c r="M441" s="37"/>
      <c r="N441" s="35">
        <f t="shared" si="253"/>
        <v>0</v>
      </c>
      <c r="O441" s="36"/>
      <c r="P441" s="36"/>
      <c r="Q441" s="36">
        <v>0</v>
      </c>
      <c r="R441" s="37"/>
      <c r="S441" s="29" t="str">
        <f t="shared" si="227"/>
        <v xml:space="preserve"> </v>
      </c>
      <c r="T441" s="30" t="str">
        <f t="shared" si="228"/>
        <v xml:space="preserve"> </v>
      </c>
      <c r="U441" s="30" t="str">
        <f t="shared" si="229"/>
        <v xml:space="preserve"> </v>
      </c>
      <c r="V441" s="30" t="str">
        <f t="shared" si="230"/>
        <v xml:space="preserve"> </v>
      </c>
      <c r="W441" s="30" t="str">
        <f t="shared" si="230"/>
        <v xml:space="preserve"> </v>
      </c>
    </row>
    <row r="442" spans="1:23" s="38" customFormat="1" ht="24" customHeight="1" x14ac:dyDescent="0.2">
      <c r="A442" s="78"/>
      <c r="B442" s="79"/>
      <c r="C442" s="54" t="s">
        <v>130</v>
      </c>
      <c r="D442" s="55">
        <f t="shared" si="250"/>
        <v>0</v>
      </c>
      <c r="E442" s="56">
        <f>+E443</f>
        <v>0</v>
      </c>
      <c r="F442" s="56">
        <f t="shared" si="251"/>
        <v>0</v>
      </c>
      <c r="G442" s="56">
        <f t="shared" si="251"/>
        <v>0</v>
      </c>
      <c r="H442" s="57">
        <f t="shared" si="251"/>
        <v>0</v>
      </c>
      <c r="I442" s="55">
        <f>SUM(J442:M442)</f>
        <v>38973.599999999999</v>
      </c>
      <c r="J442" s="56">
        <f>+J443</f>
        <v>0</v>
      </c>
      <c r="K442" s="56">
        <f>+K443</f>
        <v>38973.599999999999</v>
      </c>
      <c r="L442" s="56">
        <f>+L443</f>
        <v>0</v>
      </c>
      <c r="M442" s="57">
        <f>+M443</f>
        <v>0</v>
      </c>
      <c r="N442" s="55">
        <f t="shared" si="253"/>
        <v>27616.07</v>
      </c>
      <c r="O442" s="56">
        <f>+O443</f>
        <v>0</v>
      </c>
      <c r="P442" s="56">
        <f>+P443</f>
        <v>27616.07</v>
      </c>
      <c r="Q442" s="56">
        <f>+Q443</f>
        <v>0</v>
      </c>
      <c r="R442" s="57">
        <f>+R443</f>
        <v>0</v>
      </c>
      <c r="S442" s="26">
        <f t="shared" si="227"/>
        <v>0.70858401584662445</v>
      </c>
      <c r="T442" s="27" t="str">
        <f t="shared" si="228"/>
        <v xml:space="preserve"> </v>
      </c>
      <c r="U442" s="27">
        <f t="shared" si="229"/>
        <v>0.70858401584662445</v>
      </c>
      <c r="V442" s="27" t="str">
        <f t="shared" si="230"/>
        <v xml:space="preserve"> </v>
      </c>
      <c r="W442" s="27" t="str">
        <f t="shared" si="230"/>
        <v xml:space="preserve"> </v>
      </c>
    </row>
    <row r="443" spans="1:23" ht="36" customHeight="1" x14ac:dyDescent="0.2">
      <c r="A443" s="74"/>
      <c r="B443" s="75"/>
      <c r="C443" s="4" t="s">
        <v>538</v>
      </c>
      <c r="D443" s="35">
        <f t="shared" si="250"/>
        <v>0</v>
      </c>
      <c r="E443" s="36"/>
      <c r="F443" s="36">
        <v>0</v>
      </c>
      <c r="G443" s="36"/>
      <c r="H443" s="37"/>
      <c r="I443" s="35">
        <f t="shared" si="252"/>
        <v>38973.599999999999</v>
      </c>
      <c r="J443" s="36"/>
      <c r="K443" s="36">
        <v>38973.599999999999</v>
      </c>
      <c r="L443" s="36"/>
      <c r="M443" s="37"/>
      <c r="N443" s="35">
        <f t="shared" si="253"/>
        <v>27616.07</v>
      </c>
      <c r="O443" s="36"/>
      <c r="P443" s="36">
        <v>27616.07</v>
      </c>
      <c r="Q443" s="36"/>
      <c r="R443" s="37"/>
      <c r="S443" s="29">
        <f t="shared" si="227"/>
        <v>0.70858401584662445</v>
      </c>
      <c r="T443" s="30" t="str">
        <f t="shared" si="228"/>
        <v xml:space="preserve"> </v>
      </c>
      <c r="U443" s="30">
        <f t="shared" si="229"/>
        <v>0.70858401584662445</v>
      </c>
      <c r="V443" s="30" t="str">
        <f t="shared" si="230"/>
        <v xml:space="preserve"> </v>
      </c>
      <c r="W443" s="30" t="str">
        <f t="shared" si="230"/>
        <v xml:space="preserve"> </v>
      </c>
    </row>
    <row r="444" spans="1:23" s="38" customFormat="1" ht="27" customHeight="1" x14ac:dyDescent="0.2">
      <c r="A444" s="78"/>
      <c r="B444" s="79"/>
      <c r="C444" s="54" t="s">
        <v>539</v>
      </c>
      <c r="D444" s="55">
        <f t="shared" si="250"/>
        <v>0</v>
      </c>
      <c r="E444" s="56">
        <f>SUM(E445:E446)</f>
        <v>0</v>
      </c>
      <c r="F444" s="56">
        <f>SUM(F445:F446)</f>
        <v>0</v>
      </c>
      <c r="G444" s="56">
        <f>SUM(G445:G446)</f>
        <v>0</v>
      </c>
      <c r="H444" s="57">
        <f>SUM(H445:H446)</f>
        <v>0</v>
      </c>
      <c r="I444" s="55">
        <f t="shared" si="252"/>
        <v>216075.5</v>
      </c>
      <c r="J444" s="56">
        <f>SUM(J445:J446)</f>
        <v>0</v>
      </c>
      <c r="K444" s="56">
        <f>SUM(K445:K446)</f>
        <v>216075.5</v>
      </c>
      <c r="L444" s="56">
        <f>SUM(L445:L446)</f>
        <v>0</v>
      </c>
      <c r="M444" s="57">
        <f>SUM(M445:M446)</f>
        <v>0</v>
      </c>
      <c r="N444" s="55">
        <f t="shared" si="253"/>
        <v>164445.35999999999</v>
      </c>
      <c r="O444" s="56">
        <f>SUM(O445:O446)</f>
        <v>0</v>
      </c>
      <c r="P444" s="56">
        <f>SUM(P445:P446)</f>
        <v>164445.35999999999</v>
      </c>
      <c r="Q444" s="56">
        <f>SUM(Q445:Q446)</f>
        <v>0</v>
      </c>
      <c r="R444" s="57">
        <f>SUM(R445:R446)</f>
        <v>0</v>
      </c>
      <c r="S444" s="26">
        <f t="shared" si="227"/>
        <v>0.7610550941684735</v>
      </c>
      <c r="T444" s="27" t="str">
        <f t="shared" si="228"/>
        <v xml:space="preserve"> </v>
      </c>
      <c r="U444" s="27">
        <f t="shared" si="229"/>
        <v>0.7610550941684735</v>
      </c>
      <c r="V444" s="27" t="str">
        <f t="shared" si="230"/>
        <v xml:space="preserve"> </v>
      </c>
      <c r="W444" s="27" t="str">
        <f t="shared" si="230"/>
        <v xml:space="preserve"> </v>
      </c>
    </row>
    <row r="445" spans="1:23" ht="42.75" customHeight="1" x14ac:dyDescent="0.2">
      <c r="A445" s="74"/>
      <c r="B445" s="75"/>
      <c r="C445" s="4" t="s">
        <v>540</v>
      </c>
      <c r="D445" s="35">
        <f t="shared" si="250"/>
        <v>0</v>
      </c>
      <c r="E445" s="36"/>
      <c r="F445" s="36"/>
      <c r="G445" s="36"/>
      <c r="H445" s="37"/>
      <c r="I445" s="35">
        <f t="shared" si="252"/>
        <v>182673.30000000002</v>
      </c>
      <c r="J445" s="36"/>
      <c r="K445" s="36">
        <v>182673.30000000002</v>
      </c>
      <c r="L445" s="36"/>
      <c r="M445" s="37"/>
      <c r="N445" s="35">
        <f t="shared" si="253"/>
        <v>164445.35999999999</v>
      </c>
      <c r="O445" s="36"/>
      <c r="P445" s="36">
        <v>164445.35999999999</v>
      </c>
      <c r="Q445" s="36"/>
      <c r="R445" s="37"/>
      <c r="S445" s="29">
        <f t="shared" si="227"/>
        <v>0.90021563085574063</v>
      </c>
      <c r="T445" s="30" t="str">
        <f t="shared" si="228"/>
        <v xml:space="preserve"> </v>
      </c>
      <c r="U445" s="30">
        <f t="shared" si="229"/>
        <v>0.90021563085574063</v>
      </c>
      <c r="V445" s="30" t="str">
        <f t="shared" si="230"/>
        <v xml:space="preserve"> </v>
      </c>
      <c r="W445" s="30" t="str">
        <f t="shared" si="230"/>
        <v xml:space="preserve"> </v>
      </c>
    </row>
    <row r="446" spans="1:23" ht="55.5" customHeight="1" x14ac:dyDescent="0.2">
      <c r="A446" s="74"/>
      <c r="B446" s="75"/>
      <c r="C446" s="4" t="s">
        <v>541</v>
      </c>
      <c r="D446" s="35">
        <f t="shared" ref="D446:D451" si="254">SUM(E446:H446)</f>
        <v>0</v>
      </c>
      <c r="E446" s="36"/>
      <c r="F446" s="36"/>
      <c r="G446" s="36"/>
      <c r="H446" s="37"/>
      <c r="I446" s="35">
        <f t="shared" si="252"/>
        <v>33402.199999999997</v>
      </c>
      <c r="J446" s="36"/>
      <c r="K446" s="36">
        <v>33402.199999999997</v>
      </c>
      <c r="L446" s="36"/>
      <c r="M446" s="37"/>
      <c r="N446" s="35">
        <f t="shared" si="253"/>
        <v>0</v>
      </c>
      <c r="O446" s="36"/>
      <c r="P446" s="36">
        <v>0</v>
      </c>
      <c r="Q446" s="36"/>
      <c r="R446" s="37"/>
      <c r="S446" s="29">
        <f t="shared" si="227"/>
        <v>0</v>
      </c>
      <c r="T446" s="30" t="str">
        <f t="shared" si="228"/>
        <v xml:space="preserve"> </v>
      </c>
      <c r="U446" s="30">
        <f t="shared" si="229"/>
        <v>0</v>
      </c>
      <c r="V446" s="30" t="str">
        <f t="shared" si="230"/>
        <v xml:space="preserve"> </v>
      </c>
      <c r="W446" s="30" t="str">
        <f t="shared" si="230"/>
        <v xml:space="preserve"> </v>
      </c>
    </row>
    <row r="447" spans="1:23" s="38" customFormat="1" ht="32.25" customHeight="1" x14ac:dyDescent="0.2">
      <c r="A447" s="78"/>
      <c r="B447" s="79"/>
      <c r="C447" s="54" t="s">
        <v>542</v>
      </c>
      <c r="D447" s="55">
        <f t="shared" si="254"/>
        <v>547195.80000000005</v>
      </c>
      <c r="E447" s="56">
        <f>+E448</f>
        <v>0</v>
      </c>
      <c r="F447" s="56">
        <f>+F448</f>
        <v>547195.80000000005</v>
      </c>
      <c r="G447" s="56">
        <f>+G448</f>
        <v>0</v>
      </c>
      <c r="H447" s="57">
        <f>+H448</f>
        <v>0</v>
      </c>
      <c r="I447" s="55">
        <f t="shared" si="252"/>
        <v>324391.79999999993</v>
      </c>
      <c r="J447" s="56">
        <f>+J448</f>
        <v>0</v>
      </c>
      <c r="K447" s="56">
        <f>+K448</f>
        <v>324391.79999999993</v>
      </c>
      <c r="L447" s="56">
        <f>+L448</f>
        <v>0</v>
      </c>
      <c r="M447" s="57">
        <f>+M448</f>
        <v>0</v>
      </c>
      <c r="N447" s="55">
        <f t="shared" si="253"/>
        <v>323555.55</v>
      </c>
      <c r="O447" s="56">
        <f>+O448</f>
        <v>0</v>
      </c>
      <c r="P447" s="56">
        <f>+P448</f>
        <v>323555.55</v>
      </c>
      <c r="Q447" s="56">
        <f>+Q448</f>
        <v>0</v>
      </c>
      <c r="R447" s="57">
        <f>+R448</f>
        <v>0</v>
      </c>
      <c r="S447" s="26">
        <f t="shared" si="227"/>
        <v>0.99742209883233812</v>
      </c>
      <c r="T447" s="27" t="str">
        <f t="shared" si="228"/>
        <v xml:space="preserve"> </v>
      </c>
      <c r="U447" s="27">
        <f t="shared" si="229"/>
        <v>0.99742209883233812</v>
      </c>
      <c r="V447" s="27" t="str">
        <f t="shared" si="230"/>
        <v xml:space="preserve"> </v>
      </c>
      <c r="W447" s="27" t="str">
        <f t="shared" si="230"/>
        <v xml:space="preserve"> </v>
      </c>
    </row>
    <row r="448" spans="1:23" ht="57" customHeight="1" x14ac:dyDescent="0.2">
      <c r="A448" s="74"/>
      <c r="B448" s="75"/>
      <c r="C448" s="4" t="s">
        <v>543</v>
      </c>
      <c r="D448" s="35">
        <f t="shared" si="254"/>
        <v>547195.80000000005</v>
      </c>
      <c r="E448" s="36"/>
      <c r="F448" s="36">
        <v>547195.80000000005</v>
      </c>
      <c r="G448" s="36"/>
      <c r="H448" s="37"/>
      <c r="I448" s="35">
        <f t="shared" si="252"/>
        <v>324391.79999999993</v>
      </c>
      <c r="J448" s="36"/>
      <c r="K448" s="36">
        <v>324391.79999999993</v>
      </c>
      <c r="L448" s="36"/>
      <c r="M448" s="37"/>
      <c r="N448" s="35">
        <f t="shared" si="253"/>
        <v>323555.55</v>
      </c>
      <c r="O448" s="36"/>
      <c r="P448" s="36">
        <v>323555.55</v>
      </c>
      <c r="Q448" s="36"/>
      <c r="R448" s="37"/>
      <c r="S448" s="29">
        <f t="shared" si="227"/>
        <v>0.99742209883233812</v>
      </c>
      <c r="T448" s="30" t="str">
        <f t="shared" si="228"/>
        <v xml:space="preserve"> </v>
      </c>
      <c r="U448" s="30">
        <f t="shared" si="229"/>
        <v>0.99742209883233812</v>
      </c>
      <c r="V448" s="30" t="str">
        <f t="shared" si="230"/>
        <v xml:space="preserve"> </v>
      </c>
      <c r="W448" s="30" t="str">
        <f t="shared" si="230"/>
        <v xml:space="preserve"> </v>
      </c>
    </row>
    <row r="449" spans="1:23" s="38" customFormat="1" ht="27.75" customHeight="1" x14ac:dyDescent="0.2">
      <c r="A449" s="78"/>
      <c r="B449" s="79"/>
      <c r="C449" s="54" t="s">
        <v>133</v>
      </c>
      <c r="D449" s="55">
        <f t="shared" si="254"/>
        <v>601128.80000000005</v>
      </c>
      <c r="E449" s="56">
        <f>+E450</f>
        <v>0</v>
      </c>
      <c r="F449" s="56">
        <f>+F450</f>
        <v>601128.80000000005</v>
      </c>
      <c r="G449" s="56">
        <f>+G450</f>
        <v>0</v>
      </c>
      <c r="H449" s="57">
        <f>+H450</f>
        <v>0</v>
      </c>
      <c r="I449" s="55">
        <f t="shared" si="252"/>
        <v>0</v>
      </c>
      <c r="J449" s="56">
        <f>+J450</f>
        <v>0</v>
      </c>
      <c r="K449" s="56">
        <f>+K450</f>
        <v>0</v>
      </c>
      <c r="L449" s="56">
        <f>+L450</f>
        <v>0</v>
      </c>
      <c r="M449" s="57">
        <f>+M450</f>
        <v>0</v>
      </c>
      <c r="N449" s="55">
        <f t="shared" si="253"/>
        <v>0</v>
      </c>
      <c r="O449" s="56">
        <f>+O450</f>
        <v>0</v>
      </c>
      <c r="P449" s="56">
        <f>+P450</f>
        <v>0</v>
      </c>
      <c r="Q449" s="56">
        <f>+Q450</f>
        <v>0</v>
      </c>
      <c r="R449" s="57">
        <f>+R450</f>
        <v>0</v>
      </c>
      <c r="S449" s="26" t="str">
        <f t="shared" si="227"/>
        <v xml:space="preserve"> </v>
      </c>
      <c r="T449" s="27" t="str">
        <f t="shared" si="228"/>
        <v xml:space="preserve"> </v>
      </c>
      <c r="U449" s="27" t="str">
        <f t="shared" si="229"/>
        <v xml:space="preserve"> </v>
      </c>
      <c r="V449" s="27" t="str">
        <f t="shared" si="230"/>
        <v xml:space="preserve"> </v>
      </c>
      <c r="W449" s="27" t="str">
        <f t="shared" si="230"/>
        <v xml:space="preserve"> </v>
      </c>
    </row>
    <row r="450" spans="1:23" ht="66.75" customHeight="1" x14ac:dyDescent="0.2">
      <c r="A450" s="74"/>
      <c r="B450" s="75"/>
      <c r="C450" s="4" t="s">
        <v>97</v>
      </c>
      <c r="D450" s="35">
        <f t="shared" si="254"/>
        <v>601128.80000000005</v>
      </c>
      <c r="E450" s="36"/>
      <c r="F450" s="36">
        <v>601128.80000000005</v>
      </c>
      <c r="G450" s="36"/>
      <c r="H450" s="37"/>
      <c r="I450" s="35">
        <f t="shared" si="252"/>
        <v>0</v>
      </c>
      <c r="J450" s="36"/>
      <c r="K450" s="36">
        <v>0</v>
      </c>
      <c r="L450" s="36"/>
      <c r="M450" s="37"/>
      <c r="N450" s="35">
        <f t="shared" si="253"/>
        <v>0</v>
      </c>
      <c r="O450" s="36"/>
      <c r="P450" s="36">
        <v>0</v>
      </c>
      <c r="Q450" s="36"/>
      <c r="R450" s="37"/>
      <c r="S450" s="29" t="str">
        <f t="shared" si="227"/>
        <v xml:space="preserve"> </v>
      </c>
      <c r="T450" s="30" t="str">
        <f t="shared" si="228"/>
        <v xml:space="preserve"> </v>
      </c>
      <c r="U450" s="30" t="str">
        <f t="shared" si="229"/>
        <v xml:space="preserve"> </v>
      </c>
      <c r="V450" s="30" t="str">
        <f t="shared" si="230"/>
        <v xml:space="preserve"> </v>
      </c>
      <c r="W450" s="30" t="str">
        <f t="shared" si="230"/>
        <v xml:space="preserve"> </v>
      </c>
    </row>
    <row r="451" spans="1:23" ht="113.25" customHeight="1" x14ac:dyDescent="0.2">
      <c r="A451" s="72">
        <v>1045</v>
      </c>
      <c r="B451" s="76">
        <v>32004</v>
      </c>
      <c r="C451" s="1" t="s">
        <v>544</v>
      </c>
      <c r="D451" s="5">
        <f t="shared" si="254"/>
        <v>0</v>
      </c>
      <c r="E451" s="6">
        <f>+E453+E455+E457</f>
        <v>0</v>
      </c>
      <c r="F451" s="6">
        <f>+F453+F455+F457</f>
        <v>0</v>
      </c>
      <c r="G451" s="6">
        <f>+G453+G455+G457</f>
        <v>0</v>
      </c>
      <c r="H451" s="7">
        <f>+H453+H455+H457</f>
        <v>0</v>
      </c>
      <c r="I451" s="5">
        <f t="shared" si="252"/>
        <v>3806.7000000000003</v>
      </c>
      <c r="J451" s="6">
        <f>+J453+J455+J457</f>
        <v>0</v>
      </c>
      <c r="K451" s="6">
        <f>+K453+K455+K457</f>
        <v>0</v>
      </c>
      <c r="L451" s="6">
        <f>+L453+L455+L457</f>
        <v>0</v>
      </c>
      <c r="M451" s="7">
        <f>+M453+M455+M457</f>
        <v>3806.7000000000003</v>
      </c>
      <c r="N451" s="5">
        <f t="shared" si="253"/>
        <v>3216.8</v>
      </c>
      <c r="O451" s="6">
        <f>+O453+O455+O457</f>
        <v>0</v>
      </c>
      <c r="P451" s="6">
        <f>+P453+P455+P457</f>
        <v>0</v>
      </c>
      <c r="Q451" s="6">
        <f>+Q453+Q455+Q457</f>
        <v>0</v>
      </c>
      <c r="R451" s="7">
        <f>+R453+R455+R457</f>
        <v>3216.8</v>
      </c>
      <c r="S451" s="26">
        <f t="shared" si="227"/>
        <v>0.84503638321906116</v>
      </c>
      <c r="T451" s="27" t="str">
        <f t="shared" si="228"/>
        <v xml:space="preserve"> </v>
      </c>
      <c r="U451" s="27" t="str">
        <f t="shared" si="229"/>
        <v xml:space="preserve"> </v>
      </c>
      <c r="V451" s="27" t="str">
        <f t="shared" si="230"/>
        <v xml:space="preserve"> </v>
      </c>
      <c r="W451" s="27">
        <f t="shared" si="230"/>
        <v>0.84503638321906116</v>
      </c>
    </row>
    <row r="452" spans="1:23" ht="24" customHeight="1" x14ac:dyDescent="0.2">
      <c r="A452" s="74"/>
      <c r="B452" s="75"/>
      <c r="C452" s="4" t="s">
        <v>10</v>
      </c>
      <c r="D452" s="35"/>
      <c r="E452" s="36"/>
      <c r="F452" s="36"/>
      <c r="G452" s="36"/>
      <c r="H452" s="37"/>
      <c r="I452" s="35"/>
      <c r="J452" s="36"/>
      <c r="K452" s="36"/>
      <c r="L452" s="36"/>
      <c r="M452" s="37"/>
      <c r="N452" s="35"/>
      <c r="O452" s="36"/>
      <c r="P452" s="36"/>
      <c r="Q452" s="36"/>
      <c r="R452" s="37"/>
      <c r="S452" s="29" t="str">
        <f t="shared" si="227"/>
        <v xml:space="preserve"> </v>
      </c>
      <c r="T452" s="30" t="str">
        <f t="shared" si="228"/>
        <v xml:space="preserve"> </v>
      </c>
      <c r="U452" s="30" t="str">
        <f t="shared" si="229"/>
        <v xml:space="preserve"> </v>
      </c>
      <c r="V452" s="30" t="str">
        <f t="shared" si="230"/>
        <v xml:space="preserve"> </v>
      </c>
      <c r="W452" s="30" t="str">
        <f t="shared" si="230"/>
        <v xml:space="preserve"> </v>
      </c>
    </row>
    <row r="453" spans="1:23" s="38" customFormat="1" ht="27" customHeight="1" x14ac:dyDescent="0.2">
      <c r="A453" s="78"/>
      <c r="B453" s="79"/>
      <c r="C453" s="54" t="s">
        <v>539</v>
      </c>
      <c r="D453" s="55">
        <f t="shared" ref="D453:D459" si="255">SUM(E453:H453)</f>
        <v>0</v>
      </c>
      <c r="E453" s="56">
        <f>+E454</f>
        <v>0</v>
      </c>
      <c r="F453" s="56">
        <f>+F454</f>
        <v>0</v>
      </c>
      <c r="G453" s="56">
        <f>+G454</f>
        <v>0</v>
      </c>
      <c r="H453" s="57">
        <f>+H454</f>
        <v>0</v>
      </c>
      <c r="I453" s="55">
        <f t="shared" ref="I453:I459" si="256">SUM(J453:M453)</f>
        <v>0.3</v>
      </c>
      <c r="J453" s="56">
        <f>+J454</f>
        <v>0</v>
      </c>
      <c r="K453" s="56">
        <f>+K454</f>
        <v>0</v>
      </c>
      <c r="L453" s="56">
        <f>+L454</f>
        <v>0</v>
      </c>
      <c r="M453" s="57">
        <f>+M454</f>
        <v>0.3</v>
      </c>
      <c r="N453" s="55">
        <f t="shared" ref="N453:N459" si="257">SUM(O453:R453)</f>
        <v>0</v>
      </c>
      <c r="O453" s="56">
        <f>+O454</f>
        <v>0</v>
      </c>
      <c r="P453" s="56">
        <f>+P454</f>
        <v>0</v>
      </c>
      <c r="Q453" s="56">
        <f>+Q454</f>
        <v>0</v>
      </c>
      <c r="R453" s="57">
        <f>+R454</f>
        <v>0</v>
      </c>
      <c r="S453" s="26">
        <f t="shared" si="227"/>
        <v>0</v>
      </c>
      <c r="T453" s="27" t="str">
        <f t="shared" si="228"/>
        <v xml:space="preserve"> </v>
      </c>
      <c r="U453" s="27" t="str">
        <f t="shared" si="229"/>
        <v xml:space="preserve"> </v>
      </c>
      <c r="V453" s="27" t="str">
        <f t="shared" si="230"/>
        <v xml:space="preserve"> </v>
      </c>
      <c r="W453" s="27">
        <f t="shared" si="230"/>
        <v>0</v>
      </c>
    </row>
    <row r="454" spans="1:23" ht="42.75" customHeight="1" x14ac:dyDescent="0.2">
      <c r="A454" s="74"/>
      <c r="B454" s="75"/>
      <c r="C454" s="4" t="s">
        <v>545</v>
      </c>
      <c r="D454" s="35">
        <f t="shared" si="255"/>
        <v>0</v>
      </c>
      <c r="E454" s="36"/>
      <c r="F454" s="36"/>
      <c r="G454" s="36"/>
      <c r="H454" s="37">
        <v>0</v>
      </c>
      <c r="I454" s="35">
        <f t="shared" si="256"/>
        <v>0.3</v>
      </c>
      <c r="J454" s="36"/>
      <c r="K454" s="36"/>
      <c r="L454" s="36"/>
      <c r="M454" s="37">
        <v>0.3</v>
      </c>
      <c r="N454" s="35">
        <f t="shared" si="257"/>
        <v>0</v>
      </c>
      <c r="O454" s="36"/>
      <c r="P454" s="36"/>
      <c r="Q454" s="36"/>
      <c r="R454" s="37">
        <v>0</v>
      </c>
      <c r="S454" s="29">
        <f t="shared" si="227"/>
        <v>0</v>
      </c>
      <c r="T454" s="30" t="str">
        <f t="shared" si="228"/>
        <v xml:space="preserve"> </v>
      </c>
      <c r="U454" s="30" t="str">
        <f t="shared" si="229"/>
        <v xml:space="preserve"> </v>
      </c>
      <c r="V454" s="30" t="str">
        <f t="shared" si="230"/>
        <v xml:space="preserve"> </v>
      </c>
      <c r="W454" s="30">
        <f t="shared" si="230"/>
        <v>0</v>
      </c>
    </row>
    <row r="455" spans="1:23" s="38" customFormat="1" ht="24.75" customHeight="1" x14ac:dyDescent="0.2">
      <c r="A455" s="78"/>
      <c r="B455" s="79"/>
      <c r="C455" s="54" t="s">
        <v>232</v>
      </c>
      <c r="D455" s="55">
        <f t="shared" si="255"/>
        <v>0</v>
      </c>
      <c r="E455" s="56">
        <f>+E456</f>
        <v>0</v>
      </c>
      <c r="F455" s="56">
        <f t="shared" ref="F455:H457" si="258">+F456</f>
        <v>0</v>
      </c>
      <c r="G455" s="56">
        <f t="shared" si="258"/>
        <v>0</v>
      </c>
      <c r="H455" s="57">
        <f t="shared" si="258"/>
        <v>0</v>
      </c>
      <c r="I455" s="55">
        <f t="shared" si="256"/>
        <v>3186.4</v>
      </c>
      <c r="J455" s="56">
        <f>+J456</f>
        <v>0</v>
      </c>
      <c r="K455" s="56">
        <f t="shared" ref="K455:M457" si="259">+K456</f>
        <v>0</v>
      </c>
      <c r="L455" s="56">
        <f t="shared" si="259"/>
        <v>0</v>
      </c>
      <c r="M455" s="57">
        <f t="shared" si="259"/>
        <v>3186.4</v>
      </c>
      <c r="N455" s="55">
        <f t="shared" si="257"/>
        <v>2999</v>
      </c>
      <c r="O455" s="56">
        <f>+O456</f>
        <v>0</v>
      </c>
      <c r="P455" s="56">
        <f t="shared" ref="P455:R457" si="260">+P456</f>
        <v>0</v>
      </c>
      <c r="Q455" s="56">
        <f t="shared" si="260"/>
        <v>0</v>
      </c>
      <c r="R455" s="57">
        <f t="shared" si="260"/>
        <v>2999</v>
      </c>
      <c r="S455" s="26">
        <f t="shared" si="227"/>
        <v>0.94118754707506902</v>
      </c>
      <c r="T455" s="27" t="str">
        <f t="shared" si="228"/>
        <v xml:space="preserve"> </v>
      </c>
      <c r="U455" s="27" t="str">
        <f t="shared" si="229"/>
        <v xml:space="preserve"> </v>
      </c>
      <c r="V455" s="27" t="str">
        <f t="shared" si="230"/>
        <v xml:space="preserve"> </v>
      </c>
      <c r="W455" s="27">
        <f t="shared" si="230"/>
        <v>0.94118754707506902</v>
      </c>
    </row>
    <row r="456" spans="1:23" ht="42" customHeight="1" x14ac:dyDescent="0.2">
      <c r="A456" s="74"/>
      <c r="B456" s="75"/>
      <c r="C456" s="4" t="s">
        <v>546</v>
      </c>
      <c r="D456" s="35">
        <f t="shared" si="255"/>
        <v>0</v>
      </c>
      <c r="E456" s="36"/>
      <c r="F456" s="36"/>
      <c r="G456" s="36"/>
      <c r="H456" s="37">
        <v>0</v>
      </c>
      <c r="I456" s="35">
        <f t="shared" si="256"/>
        <v>3186.4</v>
      </c>
      <c r="J456" s="36"/>
      <c r="K456" s="36"/>
      <c r="L456" s="36"/>
      <c r="M456" s="37">
        <v>3186.4</v>
      </c>
      <c r="N456" s="35">
        <f t="shared" si="257"/>
        <v>2999</v>
      </c>
      <c r="O456" s="36"/>
      <c r="P456" s="36"/>
      <c r="Q456" s="36"/>
      <c r="R456" s="37">
        <v>2999</v>
      </c>
      <c r="S456" s="29">
        <f t="shared" si="227"/>
        <v>0.94118754707506902</v>
      </c>
      <c r="T456" s="30" t="str">
        <f t="shared" si="228"/>
        <v xml:space="preserve"> </v>
      </c>
      <c r="U456" s="30" t="str">
        <f t="shared" si="229"/>
        <v xml:space="preserve"> </v>
      </c>
      <c r="V456" s="30" t="str">
        <f t="shared" si="230"/>
        <v xml:space="preserve"> </v>
      </c>
      <c r="W456" s="30">
        <f t="shared" si="230"/>
        <v>0.94118754707506902</v>
      </c>
    </row>
    <row r="457" spans="1:23" s="38" customFormat="1" ht="24" customHeight="1" x14ac:dyDescent="0.2">
      <c r="A457" s="78"/>
      <c r="B457" s="79"/>
      <c r="C457" s="54" t="s">
        <v>134</v>
      </c>
      <c r="D457" s="55">
        <f t="shared" si="255"/>
        <v>0</v>
      </c>
      <c r="E457" s="56">
        <f>+E458</f>
        <v>0</v>
      </c>
      <c r="F457" s="56">
        <f t="shared" si="258"/>
        <v>0</v>
      </c>
      <c r="G457" s="56">
        <f t="shared" si="258"/>
        <v>0</v>
      </c>
      <c r="H457" s="57">
        <f t="shared" si="258"/>
        <v>0</v>
      </c>
      <c r="I457" s="55">
        <f t="shared" si="256"/>
        <v>620</v>
      </c>
      <c r="J457" s="56">
        <f>+J458</f>
        <v>0</v>
      </c>
      <c r="K457" s="56">
        <f t="shared" si="259"/>
        <v>0</v>
      </c>
      <c r="L457" s="56">
        <f t="shared" si="259"/>
        <v>0</v>
      </c>
      <c r="M457" s="57">
        <f t="shared" si="259"/>
        <v>620</v>
      </c>
      <c r="N457" s="55">
        <f t="shared" si="257"/>
        <v>217.8</v>
      </c>
      <c r="O457" s="56">
        <f>+O458</f>
        <v>0</v>
      </c>
      <c r="P457" s="56">
        <f t="shared" si="260"/>
        <v>0</v>
      </c>
      <c r="Q457" s="56">
        <f t="shared" si="260"/>
        <v>0</v>
      </c>
      <c r="R457" s="57">
        <f t="shared" si="260"/>
        <v>217.8</v>
      </c>
      <c r="S457" s="26">
        <f t="shared" si="227"/>
        <v>0.35129032258064519</v>
      </c>
      <c r="T457" s="27" t="str">
        <f t="shared" si="228"/>
        <v xml:space="preserve"> </v>
      </c>
      <c r="U457" s="27" t="str">
        <f t="shared" si="229"/>
        <v xml:space="preserve"> </v>
      </c>
      <c r="V457" s="27" t="str">
        <f t="shared" si="230"/>
        <v xml:space="preserve"> </v>
      </c>
      <c r="W457" s="27">
        <f t="shared" si="230"/>
        <v>0.35129032258064519</v>
      </c>
    </row>
    <row r="458" spans="1:23" ht="41.25" customHeight="1" x14ac:dyDescent="0.2">
      <c r="A458" s="74"/>
      <c r="B458" s="75"/>
      <c r="C458" s="4" t="s">
        <v>547</v>
      </c>
      <c r="D458" s="35">
        <f t="shared" si="255"/>
        <v>0</v>
      </c>
      <c r="E458" s="36"/>
      <c r="F458" s="36"/>
      <c r="G458" s="36"/>
      <c r="H458" s="37">
        <v>0</v>
      </c>
      <c r="I458" s="35">
        <f t="shared" si="256"/>
        <v>620</v>
      </c>
      <c r="J458" s="36"/>
      <c r="K458" s="36"/>
      <c r="L458" s="36"/>
      <c r="M458" s="37">
        <v>620</v>
      </c>
      <c r="N458" s="35">
        <f t="shared" si="257"/>
        <v>217.8</v>
      </c>
      <c r="O458" s="36"/>
      <c r="P458" s="36"/>
      <c r="Q458" s="36"/>
      <c r="R458" s="37">
        <v>217.8</v>
      </c>
      <c r="S458" s="29">
        <f t="shared" si="227"/>
        <v>0.35129032258064519</v>
      </c>
      <c r="T458" s="30" t="str">
        <f t="shared" si="228"/>
        <v xml:space="preserve"> </v>
      </c>
      <c r="U458" s="30" t="str">
        <f t="shared" si="229"/>
        <v xml:space="preserve"> </v>
      </c>
      <c r="V458" s="30" t="str">
        <f t="shared" si="230"/>
        <v xml:space="preserve"> </v>
      </c>
      <c r="W458" s="30">
        <f t="shared" si="230"/>
        <v>0.35129032258064519</v>
      </c>
    </row>
    <row r="459" spans="1:23" ht="72" customHeight="1" x14ac:dyDescent="0.2">
      <c r="A459" s="72">
        <v>1045</v>
      </c>
      <c r="B459" s="76">
        <v>32005</v>
      </c>
      <c r="C459" s="1" t="s">
        <v>548</v>
      </c>
      <c r="D459" s="5">
        <f t="shared" si="255"/>
        <v>0</v>
      </c>
      <c r="E459" s="6">
        <f>+E461</f>
        <v>0</v>
      </c>
      <c r="F459" s="6">
        <f>+F461</f>
        <v>0</v>
      </c>
      <c r="G459" s="6">
        <f>+G461</f>
        <v>0</v>
      </c>
      <c r="H459" s="7">
        <f>+H461</f>
        <v>0</v>
      </c>
      <c r="I459" s="5">
        <f t="shared" si="256"/>
        <v>207199.99999999997</v>
      </c>
      <c r="J459" s="6">
        <f>+J461</f>
        <v>207199.99999999997</v>
      </c>
      <c r="K459" s="6">
        <f>+K461</f>
        <v>0</v>
      </c>
      <c r="L459" s="6">
        <f>+L461</f>
        <v>0</v>
      </c>
      <c r="M459" s="7">
        <f>+M461</f>
        <v>0</v>
      </c>
      <c r="N459" s="5">
        <f t="shared" si="257"/>
        <v>206602</v>
      </c>
      <c r="O459" s="6">
        <f>+O461</f>
        <v>206602</v>
      </c>
      <c r="P459" s="6">
        <f>+P461</f>
        <v>0</v>
      </c>
      <c r="Q459" s="6">
        <f>+Q461</f>
        <v>0</v>
      </c>
      <c r="R459" s="7">
        <f>+R461</f>
        <v>0</v>
      </c>
      <c r="S459" s="26">
        <f t="shared" si="227"/>
        <v>0.99711389961389973</v>
      </c>
      <c r="T459" s="27">
        <f t="shared" si="228"/>
        <v>0.99711389961389973</v>
      </c>
      <c r="U459" s="27" t="str">
        <f t="shared" si="229"/>
        <v xml:space="preserve"> </v>
      </c>
      <c r="V459" s="27" t="str">
        <f t="shared" si="230"/>
        <v xml:space="preserve"> </v>
      </c>
      <c r="W459" s="27" t="str">
        <f t="shared" si="230"/>
        <v xml:space="preserve"> </v>
      </c>
    </row>
    <row r="460" spans="1:23" ht="16.5" x14ac:dyDescent="0.2">
      <c r="A460" s="74"/>
      <c r="B460" s="75"/>
      <c r="C460" s="4" t="s">
        <v>10</v>
      </c>
      <c r="D460" s="5"/>
      <c r="E460" s="6"/>
      <c r="F460" s="6"/>
      <c r="G460" s="6"/>
      <c r="H460" s="7"/>
      <c r="I460" s="5"/>
      <c r="J460" s="6"/>
      <c r="K460" s="6"/>
      <c r="L460" s="6"/>
      <c r="M460" s="7"/>
      <c r="N460" s="5"/>
      <c r="O460" s="6"/>
      <c r="P460" s="6"/>
      <c r="Q460" s="6"/>
      <c r="R460" s="7"/>
      <c r="S460" s="29" t="str">
        <f t="shared" si="227"/>
        <v xml:space="preserve"> </v>
      </c>
      <c r="T460" s="30" t="str">
        <f t="shared" si="228"/>
        <v xml:space="preserve"> </v>
      </c>
      <c r="U460" s="30" t="str">
        <f t="shared" si="229"/>
        <v xml:space="preserve"> </v>
      </c>
      <c r="V460" s="30" t="str">
        <f t="shared" si="230"/>
        <v xml:space="preserve"> </v>
      </c>
      <c r="W460" s="30" t="str">
        <f t="shared" si="230"/>
        <v xml:space="preserve"> </v>
      </c>
    </row>
    <row r="461" spans="1:23" s="38" customFormat="1" ht="24" customHeight="1" x14ac:dyDescent="0.2">
      <c r="A461" s="78"/>
      <c r="B461" s="79"/>
      <c r="C461" s="54" t="s">
        <v>133</v>
      </c>
      <c r="D461" s="55">
        <f>SUM(E461:H461)</f>
        <v>0</v>
      </c>
      <c r="E461" s="56">
        <f>+E462</f>
        <v>0</v>
      </c>
      <c r="F461" s="56">
        <f>+F462</f>
        <v>0</v>
      </c>
      <c r="G461" s="56">
        <f>+G462</f>
        <v>0</v>
      </c>
      <c r="H461" s="57">
        <f>+H462</f>
        <v>0</v>
      </c>
      <c r="I461" s="55">
        <f>SUM(J461:M461)</f>
        <v>207199.99999999997</v>
      </c>
      <c r="J461" s="56">
        <f>+J462</f>
        <v>207199.99999999997</v>
      </c>
      <c r="K461" s="56">
        <f>+K462</f>
        <v>0</v>
      </c>
      <c r="L461" s="56">
        <f>+L462</f>
        <v>0</v>
      </c>
      <c r="M461" s="57">
        <f>+M462</f>
        <v>0</v>
      </c>
      <c r="N461" s="55">
        <f>SUM(O461:R461)</f>
        <v>206602</v>
      </c>
      <c r="O461" s="56">
        <f>+O462</f>
        <v>206602</v>
      </c>
      <c r="P461" s="56">
        <f>+P462</f>
        <v>0</v>
      </c>
      <c r="Q461" s="56">
        <f>+Q462</f>
        <v>0</v>
      </c>
      <c r="R461" s="57">
        <f>+R462</f>
        <v>0</v>
      </c>
      <c r="S461" s="26">
        <f t="shared" si="227"/>
        <v>0.99711389961389973</v>
      </c>
      <c r="T461" s="27">
        <f t="shared" si="228"/>
        <v>0.99711389961389973</v>
      </c>
      <c r="U461" s="27" t="str">
        <f t="shared" si="229"/>
        <v xml:space="preserve"> </v>
      </c>
      <c r="V461" s="27" t="str">
        <f t="shared" si="230"/>
        <v xml:space="preserve"> </v>
      </c>
      <c r="W461" s="27" t="str">
        <f t="shared" si="230"/>
        <v xml:space="preserve"> </v>
      </c>
    </row>
    <row r="462" spans="1:23" ht="67.5" customHeight="1" x14ac:dyDescent="0.2">
      <c r="A462" s="74"/>
      <c r="B462" s="75"/>
      <c r="C462" s="4" t="s">
        <v>97</v>
      </c>
      <c r="D462" s="35">
        <f>SUM(E462:H462)</f>
        <v>0</v>
      </c>
      <c r="E462" s="36">
        <v>0</v>
      </c>
      <c r="F462" s="36"/>
      <c r="G462" s="36"/>
      <c r="H462" s="37"/>
      <c r="I462" s="35">
        <f>SUM(J462:M462)</f>
        <v>207199.99999999997</v>
      </c>
      <c r="J462" s="36">
        <v>207199.99999999997</v>
      </c>
      <c r="K462" s="36"/>
      <c r="L462" s="36"/>
      <c r="M462" s="37"/>
      <c r="N462" s="35">
        <f>SUM(O462:R462)</f>
        <v>206602</v>
      </c>
      <c r="O462" s="36">
        <v>206602</v>
      </c>
      <c r="P462" s="36">
        <v>0</v>
      </c>
      <c r="Q462" s="36"/>
      <c r="R462" s="37"/>
      <c r="S462" s="29">
        <f t="shared" si="227"/>
        <v>0.99711389961389973</v>
      </c>
      <c r="T462" s="30">
        <f t="shared" si="228"/>
        <v>0.99711389961389973</v>
      </c>
      <c r="U462" s="30" t="str">
        <f t="shared" si="229"/>
        <v xml:space="preserve"> </v>
      </c>
      <c r="V462" s="30" t="str">
        <f t="shared" si="230"/>
        <v xml:space="preserve"> </v>
      </c>
      <c r="W462" s="30" t="str">
        <f t="shared" si="230"/>
        <v xml:space="preserve"> </v>
      </c>
    </row>
    <row r="463" spans="1:23" ht="47.25" customHeight="1" x14ac:dyDescent="0.2">
      <c r="A463" s="72">
        <v>1075</v>
      </c>
      <c r="B463" s="76">
        <v>21001</v>
      </c>
      <c r="C463" s="1" t="s">
        <v>16</v>
      </c>
      <c r="D463" s="5">
        <f>SUM(E463:H463)</f>
        <v>108130.5</v>
      </c>
      <c r="E463" s="6">
        <f>+E465+E480</f>
        <v>0</v>
      </c>
      <c r="F463" s="6">
        <f>+F465+F480</f>
        <v>108130.5</v>
      </c>
      <c r="G463" s="6">
        <f>+G465+G480</f>
        <v>0</v>
      </c>
      <c r="H463" s="7">
        <f>+H465+H480</f>
        <v>0</v>
      </c>
      <c r="I463" s="5">
        <f>SUM(J463:M463)</f>
        <v>169261.80000000002</v>
      </c>
      <c r="J463" s="6">
        <f>+J465+J480</f>
        <v>0</v>
      </c>
      <c r="K463" s="6">
        <f>+K465+K480</f>
        <v>136722.1</v>
      </c>
      <c r="L463" s="6">
        <f>+L465+L480</f>
        <v>32539.7</v>
      </c>
      <c r="M463" s="7">
        <f>+M465+M480</f>
        <v>0</v>
      </c>
      <c r="N463" s="5">
        <f>SUM(O463:R463)</f>
        <v>152324.46999999997</v>
      </c>
      <c r="O463" s="6">
        <f>+O465+O480</f>
        <v>0</v>
      </c>
      <c r="P463" s="6">
        <f>+P465+P480</f>
        <v>134599.46999999997</v>
      </c>
      <c r="Q463" s="6">
        <f>+Q465+Q480</f>
        <v>17725</v>
      </c>
      <c r="R463" s="7">
        <f>+R465+R480</f>
        <v>0</v>
      </c>
      <c r="S463" s="26">
        <f t="shared" si="227"/>
        <v>0.89993412571531173</v>
      </c>
      <c r="T463" s="27" t="str">
        <f t="shared" si="228"/>
        <v xml:space="preserve"> </v>
      </c>
      <c r="U463" s="27">
        <f t="shared" si="229"/>
        <v>0.98447485812461899</v>
      </c>
      <c r="V463" s="27">
        <f t="shared" si="230"/>
        <v>0.54471921990676009</v>
      </c>
      <c r="W463" s="27" t="str">
        <f t="shared" si="230"/>
        <v xml:space="preserve"> </v>
      </c>
    </row>
    <row r="464" spans="1:23" ht="16.5" x14ac:dyDescent="0.2">
      <c r="A464" s="72"/>
      <c r="B464" s="76"/>
      <c r="C464" s="4" t="s">
        <v>10</v>
      </c>
      <c r="D464" s="5"/>
      <c r="E464" s="6"/>
      <c r="F464" s="6"/>
      <c r="G464" s="6"/>
      <c r="H464" s="7"/>
      <c r="I464" s="5"/>
      <c r="J464" s="6"/>
      <c r="K464" s="6"/>
      <c r="L464" s="6"/>
      <c r="M464" s="7"/>
      <c r="N464" s="5"/>
      <c r="O464" s="6"/>
      <c r="P464" s="6"/>
      <c r="Q464" s="6"/>
      <c r="R464" s="7"/>
      <c r="S464" s="29" t="str">
        <f t="shared" si="227"/>
        <v xml:space="preserve"> </v>
      </c>
      <c r="T464" s="30" t="str">
        <f t="shared" si="228"/>
        <v xml:space="preserve"> </v>
      </c>
      <c r="U464" s="30" t="str">
        <f t="shared" si="229"/>
        <v xml:space="preserve"> </v>
      </c>
      <c r="V464" s="30" t="str">
        <f t="shared" si="230"/>
        <v xml:space="preserve"> </v>
      </c>
      <c r="W464" s="30" t="str">
        <f t="shared" si="230"/>
        <v xml:space="preserve"> </v>
      </c>
    </row>
    <row r="465" spans="1:23" s="38" customFormat="1" ht="27" customHeight="1" x14ac:dyDescent="0.2">
      <c r="A465" s="72"/>
      <c r="B465" s="76"/>
      <c r="C465" s="54" t="s">
        <v>128</v>
      </c>
      <c r="D465" s="5">
        <f>SUM(E465:H465)</f>
        <v>108130.5</v>
      </c>
      <c r="E465" s="6">
        <f>+E467+E469+E473+E475+E477</f>
        <v>0</v>
      </c>
      <c r="F465" s="6">
        <f>+F467+F469+F473+F475+F477</f>
        <v>108130.5</v>
      </c>
      <c r="G465" s="6">
        <f>+G467+G469+G473+G475+G477</f>
        <v>0</v>
      </c>
      <c r="H465" s="7">
        <f>+H467+H469+H473+H475+H477</f>
        <v>0</v>
      </c>
      <c r="I465" s="5">
        <f>SUM(J465:M465)</f>
        <v>136722.1</v>
      </c>
      <c r="J465" s="6">
        <f>+J467+J469+J473+J475+J477</f>
        <v>0</v>
      </c>
      <c r="K465" s="6">
        <f>+K467+K469+K473+K475+K477</f>
        <v>136722.1</v>
      </c>
      <c r="L465" s="6">
        <f>+L467+L469+L473+L475+L477</f>
        <v>0</v>
      </c>
      <c r="M465" s="7">
        <f>+M467+M469+M473+M475+M477</f>
        <v>0</v>
      </c>
      <c r="N465" s="5">
        <f>SUM(O465:R465)</f>
        <v>134599.46999999997</v>
      </c>
      <c r="O465" s="6">
        <f>+O467+O469+O473+O475+O477</f>
        <v>0</v>
      </c>
      <c r="P465" s="6">
        <f>+P467+P469+P473+P475+P477</f>
        <v>134599.46999999997</v>
      </c>
      <c r="Q465" s="6">
        <f>+Q467+Q469+Q473+Q475+Q477</f>
        <v>0</v>
      </c>
      <c r="R465" s="7">
        <f>+R467+R469+R473+R475+R477</f>
        <v>0</v>
      </c>
      <c r="S465" s="26">
        <f t="shared" si="227"/>
        <v>0.98447485812461899</v>
      </c>
      <c r="T465" s="27" t="str">
        <f t="shared" si="228"/>
        <v xml:space="preserve"> </v>
      </c>
      <c r="U465" s="27">
        <f t="shared" si="229"/>
        <v>0.98447485812461899</v>
      </c>
      <c r="V465" s="27" t="str">
        <f t="shared" si="230"/>
        <v xml:space="preserve"> </v>
      </c>
      <c r="W465" s="27" t="str">
        <f t="shared" si="230"/>
        <v xml:space="preserve"> </v>
      </c>
    </row>
    <row r="466" spans="1:23" ht="16.5" x14ac:dyDescent="0.2">
      <c r="A466" s="72"/>
      <c r="B466" s="76"/>
      <c r="C466" s="4" t="s">
        <v>129</v>
      </c>
      <c r="D466" s="5"/>
      <c r="E466" s="6"/>
      <c r="F466" s="6"/>
      <c r="G466" s="6"/>
      <c r="H466" s="7"/>
      <c r="I466" s="5"/>
      <c r="J466" s="6"/>
      <c r="K466" s="6"/>
      <c r="L466" s="6"/>
      <c r="M466" s="7"/>
      <c r="N466" s="5"/>
      <c r="O466" s="6"/>
      <c r="P466" s="6"/>
      <c r="Q466" s="6"/>
      <c r="R466" s="7"/>
      <c r="S466" s="29" t="str">
        <f t="shared" si="227"/>
        <v xml:space="preserve"> </v>
      </c>
      <c r="T466" s="30" t="str">
        <f t="shared" si="228"/>
        <v xml:space="preserve"> </v>
      </c>
      <c r="U466" s="30" t="str">
        <f t="shared" si="229"/>
        <v xml:space="preserve"> </v>
      </c>
      <c r="V466" s="30" t="str">
        <f t="shared" si="230"/>
        <v xml:space="preserve"> </v>
      </c>
      <c r="W466" s="30" t="str">
        <f t="shared" si="230"/>
        <v xml:space="preserve"> </v>
      </c>
    </row>
    <row r="467" spans="1:23" s="38" customFormat="1" ht="26.25" customHeight="1" x14ac:dyDescent="0.2">
      <c r="A467" s="78"/>
      <c r="B467" s="79"/>
      <c r="C467" s="54" t="s">
        <v>130</v>
      </c>
      <c r="D467" s="55">
        <f t="shared" ref="D467:D472" si="261">SUM(E467:H467)</f>
        <v>18000</v>
      </c>
      <c r="E467" s="56">
        <f>+E468</f>
        <v>0</v>
      </c>
      <c r="F467" s="56">
        <f>+F468</f>
        <v>18000</v>
      </c>
      <c r="G467" s="56">
        <f>+G468</f>
        <v>0</v>
      </c>
      <c r="H467" s="57">
        <f>+H468</f>
        <v>0</v>
      </c>
      <c r="I467" s="55">
        <f t="shared" ref="I467:I472" si="262">SUM(J467:M467)</f>
        <v>0</v>
      </c>
      <c r="J467" s="56">
        <f>+J468</f>
        <v>0</v>
      </c>
      <c r="K467" s="56">
        <f>+K468</f>
        <v>0</v>
      </c>
      <c r="L467" s="56">
        <f>+L468</f>
        <v>0</v>
      </c>
      <c r="M467" s="57">
        <f>+M468</f>
        <v>0</v>
      </c>
      <c r="N467" s="55">
        <f t="shared" ref="N467:N472" si="263">SUM(O467:R467)</f>
        <v>0</v>
      </c>
      <c r="O467" s="56">
        <f>+O468</f>
        <v>0</v>
      </c>
      <c r="P467" s="56">
        <f>+P468</f>
        <v>0</v>
      </c>
      <c r="Q467" s="56">
        <f>+Q468</f>
        <v>0</v>
      </c>
      <c r="R467" s="57">
        <f>+R468</f>
        <v>0</v>
      </c>
      <c r="S467" s="26" t="str">
        <f t="shared" si="227"/>
        <v xml:space="preserve"> </v>
      </c>
      <c r="T467" s="27" t="str">
        <f t="shared" si="228"/>
        <v xml:space="preserve"> </v>
      </c>
      <c r="U467" s="27" t="str">
        <f t="shared" si="229"/>
        <v xml:space="preserve"> </v>
      </c>
      <c r="V467" s="27" t="str">
        <f t="shared" si="230"/>
        <v xml:space="preserve"> </v>
      </c>
      <c r="W467" s="27" t="str">
        <f t="shared" si="230"/>
        <v xml:space="preserve"> </v>
      </c>
    </row>
    <row r="468" spans="1:23" ht="45.75" customHeight="1" x14ac:dyDescent="0.2">
      <c r="A468" s="74"/>
      <c r="B468" s="75"/>
      <c r="C468" s="4" t="s">
        <v>549</v>
      </c>
      <c r="D468" s="35">
        <f t="shared" si="261"/>
        <v>18000</v>
      </c>
      <c r="E468" s="36"/>
      <c r="F468" s="36">
        <v>18000</v>
      </c>
      <c r="G468" s="36"/>
      <c r="H468" s="37"/>
      <c r="I468" s="35">
        <f t="shared" si="262"/>
        <v>0</v>
      </c>
      <c r="J468" s="36"/>
      <c r="K468" s="36">
        <v>0</v>
      </c>
      <c r="L468" s="36"/>
      <c r="M468" s="37"/>
      <c r="N468" s="35">
        <f t="shared" si="263"/>
        <v>0</v>
      </c>
      <c r="O468" s="36"/>
      <c r="P468" s="36">
        <v>0</v>
      </c>
      <c r="Q468" s="36"/>
      <c r="R468" s="37"/>
      <c r="S468" s="29" t="str">
        <f t="shared" si="227"/>
        <v xml:space="preserve"> </v>
      </c>
      <c r="T468" s="30" t="str">
        <f t="shared" si="228"/>
        <v xml:space="preserve"> </v>
      </c>
      <c r="U468" s="30" t="str">
        <f t="shared" si="229"/>
        <v xml:space="preserve"> </v>
      </c>
      <c r="V468" s="30" t="str">
        <f t="shared" si="230"/>
        <v xml:space="preserve"> </v>
      </c>
      <c r="W468" s="30" t="str">
        <f t="shared" si="230"/>
        <v xml:space="preserve"> </v>
      </c>
    </row>
    <row r="469" spans="1:23" s="38" customFormat="1" ht="30.75" customHeight="1" x14ac:dyDescent="0.2">
      <c r="A469" s="78"/>
      <c r="B469" s="79"/>
      <c r="C469" s="54" t="s">
        <v>131</v>
      </c>
      <c r="D469" s="55">
        <f t="shared" si="261"/>
        <v>44128.5</v>
      </c>
      <c r="E469" s="56">
        <f>+E470+E471+E472</f>
        <v>0</v>
      </c>
      <c r="F469" s="56">
        <f>+F470+F471+F472</f>
        <v>44128.5</v>
      </c>
      <c r="G469" s="56">
        <f>+G470+G471+G472</f>
        <v>0</v>
      </c>
      <c r="H469" s="57">
        <f>+H470+H471+H472</f>
        <v>0</v>
      </c>
      <c r="I469" s="55">
        <f t="shared" si="262"/>
        <v>93629.9</v>
      </c>
      <c r="J469" s="56">
        <f>+J470+J471+J472</f>
        <v>0</v>
      </c>
      <c r="K469" s="56">
        <f>+K470+K471+K472</f>
        <v>93629.9</v>
      </c>
      <c r="L469" s="56">
        <f>+L470+L471+L472</f>
        <v>0</v>
      </c>
      <c r="M469" s="57">
        <f>+M470+M471+M472</f>
        <v>0</v>
      </c>
      <c r="N469" s="55">
        <f t="shared" si="263"/>
        <v>92236.04</v>
      </c>
      <c r="O469" s="56">
        <f>+O470+O471+O472</f>
        <v>0</v>
      </c>
      <c r="P469" s="56">
        <f>+P470+P471+P472</f>
        <v>92236.04</v>
      </c>
      <c r="Q469" s="56">
        <f>+Q470+Q471+Q472</f>
        <v>0</v>
      </c>
      <c r="R469" s="57">
        <f>+R470+R471+R472</f>
        <v>0</v>
      </c>
      <c r="S469" s="26">
        <f t="shared" si="227"/>
        <v>0.98511308887438731</v>
      </c>
      <c r="T469" s="27" t="str">
        <f t="shared" si="228"/>
        <v xml:space="preserve"> </v>
      </c>
      <c r="U469" s="27">
        <f t="shared" si="229"/>
        <v>0.98511308887438731</v>
      </c>
      <c r="V469" s="27" t="str">
        <f t="shared" si="230"/>
        <v xml:space="preserve"> </v>
      </c>
      <c r="W469" s="27" t="str">
        <f t="shared" si="230"/>
        <v xml:space="preserve"> </v>
      </c>
    </row>
    <row r="470" spans="1:23" ht="62.25" customHeight="1" x14ac:dyDescent="0.2">
      <c r="A470" s="74"/>
      <c r="B470" s="75"/>
      <c r="C470" s="4" t="s">
        <v>550</v>
      </c>
      <c r="D470" s="35">
        <f t="shared" si="261"/>
        <v>14000</v>
      </c>
      <c r="E470" s="36"/>
      <c r="F470" s="36">
        <v>14000</v>
      </c>
      <c r="G470" s="36"/>
      <c r="H470" s="37"/>
      <c r="I470" s="35">
        <f t="shared" si="262"/>
        <v>21100.799999999996</v>
      </c>
      <c r="J470" s="36"/>
      <c r="K470" s="36">
        <v>21100.799999999996</v>
      </c>
      <c r="L470" s="36"/>
      <c r="M470" s="37"/>
      <c r="N470" s="35">
        <f t="shared" si="263"/>
        <v>19707.099999999999</v>
      </c>
      <c r="O470" s="36"/>
      <c r="P470" s="36">
        <v>19707.099999999999</v>
      </c>
      <c r="Q470" s="36"/>
      <c r="R470" s="37"/>
      <c r="S470" s="29">
        <f t="shared" si="227"/>
        <v>0.93395037154989402</v>
      </c>
      <c r="T470" s="30" t="str">
        <f t="shared" si="228"/>
        <v xml:space="preserve"> </v>
      </c>
      <c r="U470" s="30">
        <f t="shared" si="229"/>
        <v>0.93395037154989402</v>
      </c>
      <c r="V470" s="30" t="str">
        <f t="shared" si="230"/>
        <v xml:space="preserve"> </v>
      </c>
      <c r="W470" s="30" t="str">
        <f t="shared" si="230"/>
        <v xml:space="preserve"> </v>
      </c>
    </row>
    <row r="471" spans="1:23" ht="66.75" customHeight="1" x14ac:dyDescent="0.2">
      <c r="A471" s="74"/>
      <c r="B471" s="75"/>
      <c r="C471" s="4" t="s">
        <v>132</v>
      </c>
      <c r="D471" s="35">
        <f t="shared" si="261"/>
        <v>30128.5</v>
      </c>
      <c r="E471" s="36"/>
      <c r="F471" s="36">
        <v>30128.5</v>
      </c>
      <c r="G471" s="36"/>
      <c r="H471" s="37"/>
      <c r="I471" s="35">
        <f t="shared" si="262"/>
        <v>28409.500000000004</v>
      </c>
      <c r="J471" s="36"/>
      <c r="K471" s="36">
        <v>28409.500000000004</v>
      </c>
      <c r="L471" s="36"/>
      <c r="M471" s="37"/>
      <c r="N471" s="35">
        <f t="shared" si="263"/>
        <v>28409.49</v>
      </c>
      <c r="O471" s="36"/>
      <c r="P471" s="36">
        <v>28409.49</v>
      </c>
      <c r="Q471" s="36"/>
      <c r="R471" s="37"/>
      <c r="S471" s="29">
        <f t="shared" ref="S471:S534" si="264">IF(I471=0," ",N471/I471)</f>
        <v>0.99999964800506869</v>
      </c>
      <c r="T471" s="30" t="str">
        <f t="shared" ref="T471:T534" si="265">IF(J471=0," ",O471/J471)</f>
        <v xml:space="preserve"> </v>
      </c>
      <c r="U471" s="30">
        <f t="shared" ref="U471:U534" si="266">IF(K471=0," ",P471/K471)</f>
        <v>0.99999964800506869</v>
      </c>
      <c r="V471" s="30" t="str">
        <f t="shared" ref="V471:W534" si="267">IF(L471=0," ",Q471/L471)</f>
        <v xml:space="preserve"> </v>
      </c>
      <c r="W471" s="30" t="str">
        <f t="shared" si="267"/>
        <v xml:space="preserve"> </v>
      </c>
    </row>
    <row r="472" spans="1:23" ht="57" customHeight="1" x14ac:dyDescent="0.2">
      <c r="A472" s="74"/>
      <c r="B472" s="75"/>
      <c r="C472" s="4" t="s">
        <v>551</v>
      </c>
      <c r="D472" s="35">
        <f t="shared" si="261"/>
        <v>0</v>
      </c>
      <c r="E472" s="36"/>
      <c r="F472" s="36">
        <v>0</v>
      </c>
      <c r="G472" s="36"/>
      <c r="H472" s="37"/>
      <c r="I472" s="35">
        <f t="shared" si="262"/>
        <v>44119.6</v>
      </c>
      <c r="J472" s="36"/>
      <c r="K472" s="36">
        <v>44119.6</v>
      </c>
      <c r="L472" s="36"/>
      <c r="M472" s="37"/>
      <c r="N472" s="35">
        <f t="shared" si="263"/>
        <v>44119.45</v>
      </c>
      <c r="O472" s="36"/>
      <c r="P472" s="36">
        <v>44119.45</v>
      </c>
      <c r="Q472" s="36"/>
      <c r="R472" s="37"/>
      <c r="S472" s="29">
        <f t="shared" si="264"/>
        <v>0.99999660015049996</v>
      </c>
      <c r="T472" s="30" t="str">
        <f t="shared" si="265"/>
        <v xml:space="preserve"> </v>
      </c>
      <c r="U472" s="30">
        <f t="shared" si="266"/>
        <v>0.99999660015049996</v>
      </c>
      <c r="V472" s="30" t="str">
        <f t="shared" si="267"/>
        <v xml:space="preserve"> </v>
      </c>
      <c r="W472" s="30" t="str">
        <f t="shared" si="267"/>
        <v xml:space="preserve"> </v>
      </c>
    </row>
    <row r="473" spans="1:23" s="38" customFormat="1" ht="26.25" customHeight="1" x14ac:dyDescent="0.2">
      <c r="A473" s="78"/>
      <c r="B473" s="79"/>
      <c r="C473" s="54" t="s">
        <v>230</v>
      </c>
      <c r="D473" s="55">
        <f t="shared" ref="D473:D479" si="268">SUM(E473:H473)</f>
        <v>0</v>
      </c>
      <c r="E473" s="56">
        <f>+E474</f>
        <v>0</v>
      </c>
      <c r="F473" s="56">
        <f>+F474</f>
        <v>0</v>
      </c>
      <c r="G473" s="56">
        <f>+G474</f>
        <v>0</v>
      </c>
      <c r="H473" s="57">
        <f>+H474</f>
        <v>0</v>
      </c>
      <c r="I473" s="55">
        <f t="shared" ref="I473:I479" si="269">SUM(J473:M473)</f>
        <v>7065.0999999999995</v>
      </c>
      <c r="J473" s="56">
        <f>+J474</f>
        <v>0</v>
      </c>
      <c r="K473" s="56">
        <f>+K474</f>
        <v>7065.0999999999995</v>
      </c>
      <c r="L473" s="56">
        <f>+L474</f>
        <v>0</v>
      </c>
      <c r="M473" s="57">
        <f>+M474</f>
        <v>0</v>
      </c>
      <c r="N473" s="55">
        <f t="shared" ref="N473:N479" si="270">SUM(O473:R473)</f>
        <v>6809.54</v>
      </c>
      <c r="O473" s="56">
        <f>+O474</f>
        <v>0</v>
      </c>
      <c r="P473" s="56">
        <f>+P474</f>
        <v>6809.54</v>
      </c>
      <c r="Q473" s="56">
        <f>+Q474</f>
        <v>0</v>
      </c>
      <c r="R473" s="57">
        <f>+R474</f>
        <v>0</v>
      </c>
      <c r="S473" s="26">
        <f t="shared" si="264"/>
        <v>0.96382782975470982</v>
      </c>
      <c r="T473" s="27" t="str">
        <f t="shared" si="265"/>
        <v xml:space="preserve"> </v>
      </c>
      <c r="U473" s="27">
        <f t="shared" si="266"/>
        <v>0.96382782975470982</v>
      </c>
      <c r="V473" s="27" t="str">
        <f t="shared" si="267"/>
        <v xml:space="preserve"> </v>
      </c>
      <c r="W473" s="27" t="str">
        <f t="shared" si="267"/>
        <v xml:space="preserve"> </v>
      </c>
    </row>
    <row r="474" spans="1:23" ht="57" customHeight="1" x14ac:dyDescent="0.2">
      <c r="A474" s="74"/>
      <c r="B474" s="75"/>
      <c r="C474" s="4" t="s">
        <v>552</v>
      </c>
      <c r="D474" s="35">
        <f t="shared" si="268"/>
        <v>0</v>
      </c>
      <c r="E474" s="36"/>
      <c r="F474" s="36"/>
      <c r="G474" s="36"/>
      <c r="H474" s="37"/>
      <c r="I474" s="35">
        <f t="shared" si="269"/>
        <v>7065.0999999999995</v>
      </c>
      <c r="J474" s="36"/>
      <c r="K474" s="36">
        <v>7065.0999999999995</v>
      </c>
      <c r="L474" s="36"/>
      <c r="M474" s="37"/>
      <c r="N474" s="35">
        <f t="shared" si="270"/>
        <v>6809.54</v>
      </c>
      <c r="O474" s="36"/>
      <c r="P474" s="36">
        <v>6809.54</v>
      </c>
      <c r="Q474" s="36"/>
      <c r="R474" s="37"/>
      <c r="S474" s="29">
        <f t="shared" si="264"/>
        <v>0.96382782975470982</v>
      </c>
      <c r="T474" s="30" t="str">
        <f t="shared" si="265"/>
        <v xml:space="preserve"> </v>
      </c>
      <c r="U474" s="30">
        <f t="shared" si="266"/>
        <v>0.96382782975470982</v>
      </c>
      <c r="V474" s="30" t="str">
        <f t="shared" si="267"/>
        <v xml:space="preserve"> </v>
      </c>
      <c r="W474" s="30" t="str">
        <f t="shared" si="267"/>
        <v xml:space="preserve"> </v>
      </c>
    </row>
    <row r="475" spans="1:23" s="38" customFormat="1" ht="26.25" customHeight="1" x14ac:dyDescent="0.2">
      <c r="A475" s="78"/>
      <c r="B475" s="79"/>
      <c r="C475" s="54" t="s">
        <v>133</v>
      </c>
      <c r="D475" s="55">
        <f t="shared" si="268"/>
        <v>13000</v>
      </c>
      <c r="E475" s="56">
        <f>+E476</f>
        <v>0</v>
      </c>
      <c r="F475" s="56">
        <f>+F476</f>
        <v>13000</v>
      </c>
      <c r="G475" s="56">
        <f>+G476</f>
        <v>0</v>
      </c>
      <c r="H475" s="57">
        <f>+H476</f>
        <v>0</v>
      </c>
      <c r="I475" s="55">
        <f t="shared" si="269"/>
        <v>0</v>
      </c>
      <c r="J475" s="56">
        <f>+J476</f>
        <v>0</v>
      </c>
      <c r="K475" s="56">
        <f>+K476</f>
        <v>0</v>
      </c>
      <c r="L475" s="56">
        <f>+L476</f>
        <v>0</v>
      </c>
      <c r="M475" s="57">
        <f>+M476</f>
        <v>0</v>
      </c>
      <c r="N475" s="55">
        <f t="shared" si="270"/>
        <v>0</v>
      </c>
      <c r="O475" s="56">
        <f>+O476</f>
        <v>0</v>
      </c>
      <c r="P475" s="56">
        <f>+P476</f>
        <v>0</v>
      </c>
      <c r="Q475" s="56">
        <f>+Q476</f>
        <v>0</v>
      </c>
      <c r="R475" s="57">
        <f>+R476</f>
        <v>0</v>
      </c>
      <c r="S475" s="26" t="str">
        <f t="shared" si="264"/>
        <v xml:space="preserve"> </v>
      </c>
      <c r="T475" s="27" t="str">
        <f t="shared" si="265"/>
        <v xml:space="preserve"> </v>
      </c>
      <c r="U475" s="27" t="str">
        <f t="shared" si="266"/>
        <v xml:space="preserve"> </v>
      </c>
      <c r="V475" s="27" t="str">
        <f t="shared" si="267"/>
        <v xml:space="preserve"> </v>
      </c>
      <c r="W475" s="27" t="str">
        <f t="shared" si="267"/>
        <v xml:space="preserve"> </v>
      </c>
    </row>
    <row r="476" spans="1:23" ht="42.75" customHeight="1" x14ac:dyDescent="0.2">
      <c r="A476" s="74"/>
      <c r="B476" s="75"/>
      <c r="C476" s="4" t="s">
        <v>553</v>
      </c>
      <c r="D476" s="35">
        <f t="shared" si="268"/>
        <v>13000</v>
      </c>
      <c r="E476" s="36"/>
      <c r="F476" s="36">
        <v>13000</v>
      </c>
      <c r="G476" s="36"/>
      <c r="H476" s="37"/>
      <c r="I476" s="35">
        <f t="shared" si="269"/>
        <v>0</v>
      </c>
      <c r="J476" s="36"/>
      <c r="K476" s="36">
        <v>0</v>
      </c>
      <c r="L476" s="36"/>
      <c r="M476" s="37"/>
      <c r="N476" s="35">
        <f t="shared" si="270"/>
        <v>0</v>
      </c>
      <c r="O476" s="36"/>
      <c r="P476" s="36">
        <v>0</v>
      </c>
      <c r="Q476" s="36"/>
      <c r="R476" s="37"/>
      <c r="S476" s="29" t="str">
        <f t="shared" si="264"/>
        <v xml:space="preserve"> </v>
      </c>
      <c r="T476" s="30" t="str">
        <f t="shared" si="265"/>
        <v xml:space="preserve"> </v>
      </c>
      <c r="U476" s="30" t="str">
        <f t="shared" si="266"/>
        <v xml:space="preserve"> </v>
      </c>
      <c r="V476" s="30" t="str">
        <f t="shared" si="267"/>
        <v xml:space="preserve"> </v>
      </c>
      <c r="W476" s="30" t="str">
        <f t="shared" si="267"/>
        <v xml:space="preserve"> </v>
      </c>
    </row>
    <row r="477" spans="1:23" s="38" customFormat="1" ht="31.5" customHeight="1" x14ac:dyDescent="0.2">
      <c r="A477" s="78"/>
      <c r="B477" s="79"/>
      <c r="C477" s="54" t="s">
        <v>134</v>
      </c>
      <c r="D477" s="55">
        <f t="shared" si="268"/>
        <v>33002</v>
      </c>
      <c r="E477" s="56">
        <f>SUM(E478:E479)</f>
        <v>0</v>
      </c>
      <c r="F477" s="56">
        <f>SUM(F478:F479)</f>
        <v>33002</v>
      </c>
      <c r="G477" s="56">
        <f>SUM(G478:G479)</f>
        <v>0</v>
      </c>
      <c r="H477" s="57">
        <f>SUM(H478:H479)</f>
        <v>0</v>
      </c>
      <c r="I477" s="55">
        <f t="shared" si="269"/>
        <v>36027.100000000006</v>
      </c>
      <c r="J477" s="56">
        <f>SUM(J478:J479)</f>
        <v>0</v>
      </c>
      <c r="K477" s="56">
        <f>SUM(K478:K479)</f>
        <v>36027.100000000006</v>
      </c>
      <c r="L477" s="56">
        <f>SUM(L478:L479)</f>
        <v>0</v>
      </c>
      <c r="M477" s="57">
        <f>SUM(M478:M479)</f>
        <v>0</v>
      </c>
      <c r="N477" s="55">
        <f t="shared" si="270"/>
        <v>35553.89</v>
      </c>
      <c r="O477" s="56">
        <f>SUM(O478:O479)</f>
        <v>0</v>
      </c>
      <c r="P477" s="56">
        <f>SUM(P478:P479)</f>
        <v>35553.89</v>
      </c>
      <c r="Q477" s="56">
        <f>SUM(Q478:Q479)</f>
        <v>0</v>
      </c>
      <c r="R477" s="57">
        <f>SUM(R478:R479)</f>
        <v>0</v>
      </c>
      <c r="S477" s="26">
        <f t="shared" si="264"/>
        <v>0.98686516538938729</v>
      </c>
      <c r="T477" s="27" t="str">
        <f t="shared" si="265"/>
        <v xml:space="preserve"> </v>
      </c>
      <c r="U477" s="27">
        <f t="shared" si="266"/>
        <v>0.98686516538938729</v>
      </c>
      <c r="V477" s="27" t="str">
        <f t="shared" si="267"/>
        <v xml:space="preserve"> </v>
      </c>
      <c r="W477" s="27" t="str">
        <f t="shared" si="267"/>
        <v xml:space="preserve"> </v>
      </c>
    </row>
    <row r="478" spans="1:23" ht="45" customHeight="1" x14ac:dyDescent="0.2">
      <c r="A478" s="74"/>
      <c r="B478" s="75"/>
      <c r="C478" s="4" t="s">
        <v>136</v>
      </c>
      <c r="D478" s="35">
        <f t="shared" si="268"/>
        <v>15002</v>
      </c>
      <c r="E478" s="36"/>
      <c r="F478" s="36">
        <v>15002</v>
      </c>
      <c r="G478" s="36"/>
      <c r="H478" s="37"/>
      <c r="I478" s="35">
        <f t="shared" si="269"/>
        <v>5780.0999999999995</v>
      </c>
      <c r="J478" s="36"/>
      <c r="K478" s="36">
        <v>5780.0999999999995</v>
      </c>
      <c r="L478" s="36"/>
      <c r="M478" s="37"/>
      <c r="N478" s="35">
        <f t="shared" si="270"/>
        <v>5780.1</v>
      </c>
      <c r="O478" s="36"/>
      <c r="P478" s="36">
        <v>5780.1</v>
      </c>
      <c r="Q478" s="36"/>
      <c r="R478" s="37"/>
      <c r="S478" s="29">
        <f t="shared" si="264"/>
        <v>1.0000000000000002</v>
      </c>
      <c r="T478" s="30" t="str">
        <f t="shared" si="265"/>
        <v xml:space="preserve"> </v>
      </c>
      <c r="U478" s="30">
        <f t="shared" si="266"/>
        <v>1.0000000000000002</v>
      </c>
      <c r="V478" s="30" t="str">
        <f t="shared" si="267"/>
        <v xml:space="preserve"> </v>
      </c>
      <c r="W478" s="30" t="str">
        <f t="shared" si="267"/>
        <v xml:space="preserve"> </v>
      </c>
    </row>
    <row r="479" spans="1:23" ht="67.5" customHeight="1" x14ac:dyDescent="0.2">
      <c r="A479" s="74"/>
      <c r="B479" s="75"/>
      <c r="C479" s="4" t="s">
        <v>135</v>
      </c>
      <c r="D479" s="35">
        <f t="shared" si="268"/>
        <v>18000</v>
      </c>
      <c r="E479" s="36"/>
      <c r="F479" s="36">
        <v>18000</v>
      </c>
      <c r="G479" s="36"/>
      <c r="H479" s="37"/>
      <c r="I479" s="35">
        <f t="shared" si="269"/>
        <v>30247.000000000004</v>
      </c>
      <c r="J479" s="36"/>
      <c r="K479" s="36">
        <v>30247.000000000004</v>
      </c>
      <c r="L479" s="36"/>
      <c r="M479" s="37"/>
      <c r="N479" s="35">
        <f t="shared" si="270"/>
        <v>29773.79</v>
      </c>
      <c r="O479" s="36"/>
      <c r="P479" s="36">
        <v>29773.79</v>
      </c>
      <c r="Q479" s="36"/>
      <c r="R479" s="37"/>
      <c r="S479" s="29">
        <f t="shared" si="264"/>
        <v>0.98435514265877599</v>
      </c>
      <c r="T479" s="30" t="str">
        <f t="shared" si="265"/>
        <v xml:space="preserve"> </v>
      </c>
      <c r="U479" s="30">
        <f t="shared" si="266"/>
        <v>0.98435514265877599</v>
      </c>
      <c r="V479" s="30" t="str">
        <f t="shared" si="267"/>
        <v xml:space="preserve"> </v>
      </c>
      <c r="W479" s="30" t="str">
        <f t="shared" si="267"/>
        <v xml:space="preserve"> </v>
      </c>
    </row>
    <row r="480" spans="1:23" s="38" customFormat="1" ht="89.25" customHeight="1" x14ac:dyDescent="0.2">
      <c r="A480" s="72"/>
      <c r="B480" s="76"/>
      <c r="C480" s="54" t="s">
        <v>554</v>
      </c>
      <c r="D480" s="5">
        <f>SUM(E480:H480)</f>
        <v>0</v>
      </c>
      <c r="E480" s="6">
        <f>+E482+E485+E488+E491</f>
        <v>0</v>
      </c>
      <c r="F480" s="6">
        <f>+F482+F485+F488+F491</f>
        <v>0</v>
      </c>
      <c r="G480" s="6">
        <f>+G482+G485+G488+G491</f>
        <v>0</v>
      </c>
      <c r="H480" s="7">
        <f>+H482+H485+H488+H491</f>
        <v>0</v>
      </c>
      <c r="I480" s="5">
        <f>SUM(J480:M480)</f>
        <v>32539.7</v>
      </c>
      <c r="J480" s="6">
        <f>+J482+J485+J488+J491</f>
        <v>0</v>
      </c>
      <c r="K480" s="6">
        <f>+K482+K485+K488+K491</f>
        <v>0</v>
      </c>
      <c r="L480" s="6">
        <f>+L482+L485+L488+L491</f>
        <v>32539.7</v>
      </c>
      <c r="M480" s="7">
        <f>+M482+M485+M488+M491</f>
        <v>0</v>
      </c>
      <c r="N480" s="5">
        <f>SUM(O480:R480)</f>
        <v>17725</v>
      </c>
      <c r="O480" s="6">
        <f>+O482+O485+O488+O491</f>
        <v>0</v>
      </c>
      <c r="P480" s="6">
        <f>+P482+P485+P488+P491</f>
        <v>0</v>
      </c>
      <c r="Q480" s="6">
        <f>+Q482+Q485+Q488+Q491</f>
        <v>17725</v>
      </c>
      <c r="R480" s="7">
        <f>+R482+R485+R488+R491</f>
        <v>0</v>
      </c>
      <c r="S480" s="26">
        <f t="shared" si="264"/>
        <v>0.54471921990676009</v>
      </c>
      <c r="T480" s="27" t="str">
        <f t="shared" si="265"/>
        <v xml:space="preserve"> </v>
      </c>
      <c r="U480" s="27" t="str">
        <f t="shared" si="266"/>
        <v xml:space="preserve"> </v>
      </c>
      <c r="V480" s="27">
        <f t="shared" si="267"/>
        <v>0.54471921990676009</v>
      </c>
      <c r="W480" s="27" t="str">
        <f t="shared" si="267"/>
        <v xml:space="preserve"> </v>
      </c>
    </row>
    <row r="481" spans="1:23" ht="16.5" x14ac:dyDescent="0.2">
      <c r="A481" s="72"/>
      <c r="B481" s="76"/>
      <c r="C481" s="4" t="s">
        <v>129</v>
      </c>
      <c r="D481" s="5"/>
      <c r="E481" s="6"/>
      <c r="F481" s="6"/>
      <c r="G481" s="6"/>
      <c r="H481" s="7"/>
      <c r="I481" s="5"/>
      <c r="J481" s="6"/>
      <c r="K481" s="6"/>
      <c r="L481" s="6"/>
      <c r="M481" s="7"/>
      <c r="N481" s="5"/>
      <c r="O481" s="6"/>
      <c r="P481" s="6"/>
      <c r="Q481" s="6"/>
      <c r="R481" s="7"/>
      <c r="S481" s="29" t="str">
        <f t="shared" si="264"/>
        <v xml:space="preserve"> </v>
      </c>
      <c r="T481" s="30" t="str">
        <f t="shared" si="265"/>
        <v xml:space="preserve"> </v>
      </c>
      <c r="U481" s="30" t="str">
        <f t="shared" si="266"/>
        <v xml:space="preserve"> </v>
      </c>
      <c r="V481" s="30" t="str">
        <f t="shared" si="267"/>
        <v xml:space="preserve"> </v>
      </c>
      <c r="W481" s="30" t="str">
        <f t="shared" si="267"/>
        <v xml:space="preserve"> </v>
      </c>
    </row>
    <row r="482" spans="1:23" s="38" customFormat="1" ht="34.5" customHeight="1" x14ac:dyDescent="0.2">
      <c r="A482" s="78"/>
      <c r="B482" s="79"/>
      <c r="C482" s="54" t="s">
        <v>223</v>
      </c>
      <c r="D482" s="55">
        <f t="shared" ref="D482:D493" si="271">SUM(E482:H482)</f>
        <v>0</v>
      </c>
      <c r="E482" s="56">
        <f>+E483+E484</f>
        <v>0</v>
      </c>
      <c r="F482" s="56">
        <f>+F483+F484</f>
        <v>0</v>
      </c>
      <c r="G482" s="56">
        <f>+G483+G484</f>
        <v>0</v>
      </c>
      <c r="H482" s="57">
        <f>+H483+H484</f>
        <v>0</v>
      </c>
      <c r="I482" s="55">
        <f t="shared" ref="I482:I493" si="272">SUM(J482:M482)</f>
        <v>5605.7</v>
      </c>
      <c r="J482" s="56">
        <f>+J483+J484</f>
        <v>0</v>
      </c>
      <c r="K482" s="56">
        <f>+K483+K484</f>
        <v>0</v>
      </c>
      <c r="L482" s="56">
        <f>+L483+L484</f>
        <v>5605.7</v>
      </c>
      <c r="M482" s="57">
        <f>+M483+M484</f>
        <v>0</v>
      </c>
      <c r="N482" s="55">
        <f t="shared" ref="N482:N497" si="273">SUM(O482:R482)</f>
        <v>5466</v>
      </c>
      <c r="O482" s="56">
        <f>+O483+O484</f>
        <v>0</v>
      </c>
      <c r="P482" s="56">
        <f>+P483+P484</f>
        <v>0</v>
      </c>
      <c r="Q482" s="56">
        <f>+Q483+Q484</f>
        <v>5466</v>
      </c>
      <c r="R482" s="57">
        <f>+R483+R484</f>
        <v>0</v>
      </c>
      <c r="S482" s="26">
        <f t="shared" si="264"/>
        <v>0.97507893751003449</v>
      </c>
      <c r="T482" s="27" t="str">
        <f t="shared" si="265"/>
        <v xml:space="preserve"> </v>
      </c>
      <c r="U482" s="27" t="str">
        <f t="shared" si="266"/>
        <v xml:space="preserve"> </v>
      </c>
      <c r="V482" s="27">
        <f t="shared" si="267"/>
        <v>0.97507893751003449</v>
      </c>
      <c r="W482" s="27" t="str">
        <f t="shared" si="267"/>
        <v xml:space="preserve"> </v>
      </c>
    </row>
    <row r="483" spans="1:23" ht="77.25" customHeight="1" x14ac:dyDescent="0.2">
      <c r="A483" s="74"/>
      <c r="B483" s="75"/>
      <c r="C483" s="4" t="s">
        <v>555</v>
      </c>
      <c r="D483" s="35">
        <f t="shared" si="271"/>
        <v>0</v>
      </c>
      <c r="E483" s="36"/>
      <c r="F483" s="36"/>
      <c r="G483" s="36">
        <v>0</v>
      </c>
      <c r="H483" s="37"/>
      <c r="I483" s="35">
        <f t="shared" si="272"/>
        <v>1100</v>
      </c>
      <c r="J483" s="36"/>
      <c r="K483" s="36"/>
      <c r="L483" s="36">
        <v>1100</v>
      </c>
      <c r="M483" s="37"/>
      <c r="N483" s="35">
        <f t="shared" si="273"/>
        <v>1100</v>
      </c>
      <c r="O483" s="36"/>
      <c r="P483" s="36"/>
      <c r="Q483" s="36">
        <v>1100</v>
      </c>
      <c r="R483" s="37"/>
      <c r="S483" s="29">
        <f t="shared" si="264"/>
        <v>1</v>
      </c>
      <c r="T483" s="30" t="str">
        <f t="shared" si="265"/>
        <v xml:space="preserve"> </v>
      </c>
      <c r="U483" s="30" t="str">
        <f t="shared" si="266"/>
        <v xml:space="preserve"> </v>
      </c>
      <c r="V483" s="30">
        <f t="shared" si="267"/>
        <v>1</v>
      </c>
      <c r="W483" s="30" t="str">
        <f t="shared" si="267"/>
        <v xml:space="preserve"> </v>
      </c>
    </row>
    <row r="484" spans="1:23" ht="60.75" customHeight="1" x14ac:dyDescent="0.2">
      <c r="A484" s="74"/>
      <c r="B484" s="75"/>
      <c r="C484" s="4" t="s">
        <v>556</v>
      </c>
      <c r="D484" s="35">
        <f t="shared" si="271"/>
        <v>0</v>
      </c>
      <c r="E484" s="36"/>
      <c r="F484" s="36"/>
      <c r="G484" s="36">
        <v>0</v>
      </c>
      <c r="H484" s="37"/>
      <c r="I484" s="35">
        <f t="shared" si="272"/>
        <v>4505.7</v>
      </c>
      <c r="J484" s="36"/>
      <c r="K484" s="36"/>
      <c r="L484" s="36">
        <v>4505.7</v>
      </c>
      <c r="M484" s="37"/>
      <c r="N484" s="35">
        <f t="shared" si="273"/>
        <v>4366</v>
      </c>
      <c r="O484" s="36"/>
      <c r="P484" s="36"/>
      <c r="Q484" s="36">
        <v>4366</v>
      </c>
      <c r="R484" s="37"/>
      <c r="S484" s="29">
        <f t="shared" si="264"/>
        <v>0.96899482877244381</v>
      </c>
      <c r="T484" s="30" t="str">
        <f t="shared" si="265"/>
        <v xml:space="preserve"> </v>
      </c>
      <c r="U484" s="30" t="str">
        <f t="shared" si="266"/>
        <v xml:space="preserve"> </v>
      </c>
      <c r="V484" s="30">
        <f t="shared" si="267"/>
        <v>0.96899482877244381</v>
      </c>
      <c r="W484" s="30" t="str">
        <f t="shared" si="267"/>
        <v xml:space="preserve"> </v>
      </c>
    </row>
    <row r="485" spans="1:23" s="38" customFormat="1" ht="31.5" customHeight="1" x14ac:dyDescent="0.2">
      <c r="A485" s="78"/>
      <c r="B485" s="79"/>
      <c r="C485" s="54" t="s">
        <v>131</v>
      </c>
      <c r="D485" s="55">
        <f t="shared" si="271"/>
        <v>0</v>
      </c>
      <c r="E485" s="56">
        <f>+E486+E487</f>
        <v>0</v>
      </c>
      <c r="F485" s="56">
        <f>+F486+F487</f>
        <v>0</v>
      </c>
      <c r="G485" s="56">
        <f>+G486+G487</f>
        <v>0</v>
      </c>
      <c r="H485" s="57">
        <f>+H486+H487</f>
        <v>0</v>
      </c>
      <c r="I485" s="55">
        <f t="shared" si="272"/>
        <v>16734</v>
      </c>
      <c r="J485" s="56">
        <f>+J486+J487</f>
        <v>0</v>
      </c>
      <c r="K485" s="56">
        <f>+K486+K487</f>
        <v>0</v>
      </c>
      <c r="L485" s="56">
        <f>+L486+L487</f>
        <v>16734</v>
      </c>
      <c r="M485" s="57">
        <f>+M486+M487</f>
        <v>0</v>
      </c>
      <c r="N485" s="55">
        <f t="shared" si="273"/>
        <v>2759</v>
      </c>
      <c r="O485" s="56">
        <f>+O486+O487</f>
        <v>0</v>
      </c>
      <c r="P485" s="56">
        <f>+P486+P487</f>
        <v>0</v>
      </c>
      <c r="Q485" s="56">
        <f>+Q486+Q487</f>
        <v>2759</v>
      </c>
      <c r="R485" s="57">
        <f>+R486+R487</f>
        <v>0</v>
      </c>
      <c r="S485" s="26">
        <f t="shared" si="264"/>
        <v>0.16487390940599977</v>
      </c>
      <c r="T485" s="27" t="str">
        <f t="shared" si="265"/>
        <v xml:space="preserve"> </v>
      </c>
      <c r="U485" s="27" t="str">
        <f t="shared" si="266"/>
        <v xml:space="preserve"> </v>
      </c>
      <c r="V485" s="27">
        <f t="shared" si="267"/>
        <v>0.16487390940599977</v>
      </c>
      <c r="W485" s="27" t="str">
        <f t="shared" si="267"/>
        <v xml:space="preserve"> </v>
      </c>
    </row>
    <row r="486" spans="1:23" ht="63.75" customHeight="1" x14ac:dyDescent="0.2">
      <c r="A486" s="74"/>
      <c r="B486" s="75"/>
      <c r="C486" s="4" t="s">
        <v>557</v>
      </c>
      <c r="D486" s="35">
        <f t="shared" si="271"/>
        <v>0</v>
      </c>
      <c r="E486" s="36"/>
      <c r="F486" s="36"/>
      <c r="G486" s="36">
        <v>0</v>
      </c>
      <c r="H486" s="37"/>
      <c r="I486" s="35">
        <f t="shared" si="272"/>
        <v>13963</v>
      </c>
      <c r="J486" s="36"/>
      <c r="K486" s="36"/>
      <c r="L486" s="36">
        <v>13963</v>
      </c>
      <c r="M486" s="37"/>
      <c r="N486" s="35">
        <f t="shared" si="273"/>
        <v>0</v>
      </c>
      <c r="O486" s="36"/>
      <c r="P486" s="36"/>
      <c r="Q486" s="36">
        <v>0</v>
      </c>
      <c r="R486" s="37"/>
      <c r="S486" s="29">
        <f t="shared" si="264"/>
        <v>0</v>
      </c>
      <c r="T486" s="30" t="str">
        <f t="shared" si="265"/>
        <v xml:space="preserve"> </v>
      </c>
      <c r="U486" s="30" t="str">
        <f t="shared" si="266"/>
        <v xml:space="preserve"> </v>
      </c>
      <c r="V486" s="30">
        <f t="shared" si="267"/>
        <v>0</v>
      </c>
      <c r="W486" s="30" t="str">
        <f t="shared" si="267"/>
        <v xml:space="preserve"> </v>
      </c>
    </row>
    <row r="487" spans="1:23" ht="59.25" customHeight="1" x14ac:dyDescent="0.2">
      <c r="A487" s="74"/>
      <c r="B487" s="75"/>
      <c r="C487" s="4" t="s">
        <v>558</v>
      </c>
      <c r="D487" s="35">
        <f t="shared" si="271"/>
        <v>0</v>
      </c>
      <c r="E487" s="36"/>
      <c r="F487" s="36"/>
      <c r="G487" s="36">
        <v>0</v>
      </c>
      <c r="H487" s="37"/>
      <c r="I487" s="35">
        <f t="shared" si="272"/>
        <v>2771</v>
      </c>
      <c r="J487" s="36"/>
      <c r="K487" s="36"/>
      <c r="L487" s="36">
        <v>2771</v>
      </c>
      <c r="M487" s="37"/>
      <c r="N487" s="35">
        <f t="shared" si="273"/>
        <v>2759</v>
      </c>
      <c r="O487" s="36"/>
      <c r="P487" s="36"/>
      <c r="Q487" s="36">
        <v>2759</v>
      </c>
      <c r="R487" s="37"/>
      <c r="S487" s="29">
        <f t="shared" si="264"/>
        <v>0.99566943341753877</v>
      </c>
      <c r="T487" s="30" t="str">
        <f t="shared" si="265"/>
        <v xml:space="preserve"> </v>
      </c>
      <c r="U487" s="30" t="str">
        <f t="shared" si="266"/>
        <v xml:space="preserve"> </v>
      </c>
      <c r="V487" s="30">
        <f t="shared" si="267"/>
        <v>0.99566943341753877</v>
      </c>
      <c r="W487" s="30" t="str">
        <f t="shared" si="267"/>
        <v xml:space="preserve"> </v>
      </c>
    </row>
    <row r="488" spans="1:23" s="38" customFormat="1" ht="31.5" customHeight="1" x14ac:dyDescent="0.2">
      <c r="A488" s="78"/>
      <c r="B488" s="79"/>
      <c r="C488" s="54" t="s">
        <v>232</v>
      </c>
      <c r="D488" s="55">
        <f t="shared" si="271"/>
        <v>0</v>
      </c>
      <c r="E488" s="56">
        <f>+E489+E490</f>
        <v>0</v>
      </c>
      <c r="F488" s="56">
        <f>+F489+F490</f>
        <v>0</v>
      </c>
      <c r="G488" s="56">
        <f>+G489+G490</f>
        <v>0</v>
      </c>
      <c r="H488" s="57">
        <f>+H489+H490</f>
        <v>0</v>
      </c>
      <c r="I488" s="55">
        <f t="shared" si="272"/>
        <v>9010</v>
      </c>
      <c r="J488" s="56">
        <f>+J489+J490</f>
        <v>0</v>
      </c>
      <c r="K488" s="56">
        <f>+K489+K490</f>
        <v>0</v>
      </c>
      <c r="L488" s="56">
        <f>+L489+L490</f>
        <v>9010</v>
      </c>
      <c r="M488" s="57">
        <f>+M489+M490</f>
        <v>0</v>
      </c>
      <c r="N488" s="55">
        <f t="shared" si="273"/>
        <v>8310</v>
      </c>
      <c r="O488" s="56">
        <f>+O489+O490</f>
        <v>0</v>
      </c>
      <c r="P488" s="56">
        <f>+P489+P490</f>
        <v>0</v>
      </c>
      <c r="Q488" s="56">
        <f>+Q489+Q490</f>
        <v>8310</v>
      </c>
      <c r="R488" s="57">
        <f>+R489+R490</f>
        <v>0</v>
      </c>
      <c r="S488" s="26">
        <f t="shared" si="264"/>
        <v>0.9223085460599334</v>
      </c>
      <c r="T488" s="27" t="str">
        <f t="shared" si="265"/>
        <v xml:space="preserve"> </v>
      </c>
      <c r="U488" s="27" t="str">
        <f t="shared" si="266"/>
        <v xml:space="preserve"> </v>
      </c>
      <c r="V488" s="27">
        <f t="shared" si="267"/>
        <v>0.9223085460599334</v>
      </c>
      <c r="W488" s="27" t="str">
        <f t="shared" si="267"/>
        <v xml:space="preserve"> </v>
      </c>
    </row>
    <row r="489" spans="1:23" ht="100.5" customHeight="1" x14ac:dyDescent="0.2">
      <c r="A489" s="74"/>
      <c r="B489" s="75"/>
      <c r="C489" s="4" t="s">
        <v>559</v>
      </c>
      <c r="D489" s="35">
        <f t="shared" si="271"/>
        <v>0</v>
      </c>
      <c r="E489" s="36"/>
      <c r="F489" s="36"/>
      <c r="G489" s="36">
        <v>0</v>
      </c>
      <c r="H489" s="37"/>
      <c r="I489" s="35">
        <f t="shared" si="272"/>
        <v>750</v>
      </c>
      <c r="J489" s="36"/>
      <c r="K489" s="36"/>
      <c r="L489" s="36">
        <v>750</v>
      </c>
      <c r="M489" s="37"/>
      <c r="N489" s="35">
        <f t="shared" si="273"/>
        <v>750</v>
      </c>
      <c r="O489" s="36"/>
      <c r="P489" s="36"/>
      <c r="Q489" s="36">
        <v>750</v>
      </c>
      <c r="R489" s="37"/>
      <c r="S489" s="29">
        <f t="shared" si="264"/>
        <v>1</v>
      </c>
      <c r="T489" s="30" t="str">
        <f t="shared" si="265"/>
        <v xml:space="preserve"> </v>
      </c>
      <c r="U489" s="30" t="str">
        <f t="shared" si="266"/>
        <v xml:space="preserve"> </v>
      </c>
      <c r="V489" s="30">
        <f t="shared" si="267"/>
        <v>1</v>
      </c>
      <c r="W489" s="30" t="str">
        <f t="shared" si="267"/>
        <v xml:space="preserve"> </v>
      </c>
    </row>
    <row r="490" spans="1:23" ht="54" customHeight="1" x14ac:dyDescent="0.2">
      <c r="A490" s="74"/>
      <c r="B490" s="75"/>
      <c r="C490" s="4" t="s">
        <v>560</v>
      </c>
      <c r="D490" s="35">
        <f t="shared" si="271"/>
        <v>0</v>
      </c>
      <c r="E490" s="36"/>
      <c r="F490" s="36"/>
      <c r="G490" s="36">
        <v>0</v>
      </c>
      <c r="H490" s="37"/>
      <c r="I490" s="35">
        <f t="shared" si="272"/>
        <v>8260</v>
      </c>
      <c r="J490" s="36"/>
      <c r="K490" s="36"/>
      <c r="L490" s="36">
        <v>8260</v>
      </c>
      <c r="M490" s="37"/>
      <c r="N490" s="35">
        <f t="shared" si="273"/>
        <v>7560</v>
      </c>
      <c r="O490" s="36"/>
      <c r="P490" s="36"/>
      <c r="Q490" s="36">
        <v>7560</v>
      </c>
      <c r="R490" s="37"/>
      <c r="S490" s="29">
        <f t="shared" si="264"/>
        <v>0.9152542372881356</v>
      </c>
      <c r="T490" s="30" t="str">
        <f t="shared" si="265"/>
        <v xml:space="preserve"> </v>
      </c>
      <c r="U490" s="30" t="str">
        <f t="shared" si="266"/>
        <v xml:space="preserve"> </v>
      </c>
      <c r="V490" s="30">
        <f t="shared" si="267"/>
        <v>0.9152542372881356</v>
      </c>
      <c r="W490" s="30" t="str">
        <f t="shared" si="267"/>
        <v xml:space="preserve"> </v>
      </c>
    </row>
    <row r="491" spans="1:23" s="38" customFormat="1" ht="27" customHeight="1" x14ac:dyDescent="0.2">
      <c r="A491" s="78"/>
      <c r="B491" s="79"/>
      <c r="C491" s="54" t="s">
        <v>561</v>
      </c>
      <c r="D491" s="55">
        <f t="shared" si="271"/>
        <v>0</v>
      </c>
      <c r="E491" s="56">
        <f>+E492</f>
        <v>0</v>
      </c>
      <c r="F491" s="56">
        <f>+F492</f>
        <v>0</v>
      </c>
      <c r="G491" s="56">
        <f>+G492</f>
        <v>0</v>
      </c>
      <c r="H491" s="57">
        <f>+H492</f>
        <v>0</v>
      </c>
      <c r="I491" s="55">
        <f t="shared" si="272"/>
        <v>1190</v>
      </c>
      <c r="J491" s="56">
        <f>+J492</f>
        <v>0</v>
      </c>
      <c r="K491" s="56">
        <f>+K492</f>
        <v>0</v>
      </c>
      <c r="L491" s="56">
        <f>+L492</f>
        <v>1190</v>
      </c>
      <c r="M491" s="57">
        <f>+M492</f>
        <v>0</v>
      </c>
      <c r="N491" s="55">
        <f t="shared" si="273"/>
        <v>1190</v>
      </c>
      <c r="O491" s="56">
        <f>+O492</f>
        <v>0</v>
      </c>
      <c r="P491" s="56">
        <f>+P492</f>
        <v>0</v>
      </c>
      <c r="Q491" s="56">
        <f>+Q492</f>
        <v>1190</v>
      </c>
      <c r="R491" s="57">
        <f>+R492</f>
        <v>0</v>
      </c>
      <c r="S491" s="26">
        <f t="shared" si="264"/>
        <v>1</v>
      </c>
      <c r="T491" s="27" t="str">
        <f t="shared" si="265"/>
        <v xml:space="preserve"> </v>
      </c>
      <c r="U491" s="27" t="str">
        <f t="shared" si="266"/>
        <v xml:space="preserve"> </v>
      </c>
      <c r="V491" s="27">
        <f t="shared" si="267"/>
        <v>1</v>
      </c>
      <c r="W491" s="27" t="str">
        <f t="shared" si="267"/>
        <v xml:space="preserve"> </v>
      </c>
    </row>
    <row r="492" spans="1:23" ht="65.25" customHeight="1" x14ac:dyDescent="0.2">
      <c r="A492" s="74"/>
      <c r="B492" s="75"/>
      <c r="C492" s="4" t="s">
        <v>562</v>
      </c>
      <c r="D492" s="35">
        <f t="shared" si="271"/>
        <v>0</v>
      </c>
      <c r="E492" s="36"/>
      <c r="F492" s="36"/>
      <c r="G492" s="36">
        <v>0</v>
      </c>
      <c r="H492" s="37"/>
      <c r="I492" s="35">
        <f t="shared" si="272"/>
        <v>1190</v>
      </c>
      <c r="J492" s="36"/>
      <c r="K492" s="36"/>
      <c r="L492" s="36">
        <v>1190</v>
      </c>
      <c r="M492" s="37"/>
      <c r="N492" s="35">
        <f t="shared" si="273"/>
        <v>1190</v>
      </c>
      <c r="O492" s="36"/>
      <c r="P492" s="36"/>
      <c r="Q492" s="36">
        <v>1190</v>
      </c>
      <c r="R492" s="37"/>
      <c r="S492" s="29">
        <f t="shared" si="264"/>
        <v>1</v>
      </c>
      <c r="T492" s="30" t="str">
        <f t="shared" si="265"/>
        <v xml:space="preserve"> </v>
      </c>
      <c r="U492" s="30" t="str">
        <f t="shared" si="266"/>
        <v xml:space="preserve"> </v>
      </c>
      <c r="V492" s="30">
        <f t="shared" si="267"/>
        <v>1</v>
      </c>
      <c r="W492" s="30" t="str">
        <f t="shared" si="267"/>
        <v xml:space="preserve"> </v>
      </c>
    </row>
    <row r="493" spans="1:23" ht="83.25" customHeight="1" x14ac:dyDescent="0.2">
      <c r="A493" s="72">
        <v>1075</v>
      </c>
      <c r="B493" s="76">
        <v>21005</v>
      </c>
      <c r="C493" s="1" t="s">
        <v>563</v>
      </c>
      <c r="D493" s="5">
        <f t="shared" si="271"/>
        <v>0</v>
      </c>
      <c r="E493" s="6">
        <f>+E495</f>
        <v>0</v>
      </c>
      <c r="F493" s="6">
        <f>+F495</f>
        <v>0</v>
      </c>
      <c r="G493" s="6">
        <f>+G495</f>
        <v>0</v>
      </c>
      <c r="H493" s="7">
        <f>+H495</f>
        <v>0</v>
      </c>
      <c r="I493" s="5">
        <f t="shared" si="272"/>
        <v>8625</v>
      </c>
      <c r="J493" s="6">
        <f>+J495</f>
        <v>0</v>
      </c>
      <c r="K493" s="6">
        <f>+K495</f>
        <v>0</v>
      </c>
      <c r="L493" s="6">
        <f>+L495</f>
        <v>0</v>
      </c>
      <c r="M493" s="7">
        <f>+M495</f>
        <v>8625</v>
      </c>
      <c r="N493" s="5">
        <f>SUM(O493:R493)</f>
        <v>8625</v>
      </c>
      <c r="O493" s="6">
        <f>+O495</f>
        <v>0</v>
      </c>
      <c r="P493" s="6">
        <f>+P495</f>
        <v>0</v>
      </c>
      <c r="Q493" s="6">
        <f>+Q495</f>
        <v>0</v>
      </c>
      <c r="R493" s="7">
        <f>+R495</f>
        <v>8625</v>
      </c>
      <c r="S493" s="26">
        <f t="shared" si="264"/>
        <v>1</v>
      </c>
      <c r="T493" s="27" t="str">
        <f t="shared" si="265"/>
        <v xml:space="preserve"> </v>
      </c>
      <c r="U493" s="27" t="str">
        <f t="shared" si="266"/>
        <v xml:space="preserve"> </v>
      </c>
      <c r="V493" s="27" t="str">
        <f t="shared" si="267"/>
        <v xml:space="preserve"> </v>
      </c>
      <c r="W493" s="27">
        <f t="shared" si="267"/>
        <v>1</v>
      </c>
    </row>
    <row r="494" spans="1:23" ht="25.5" customHeight="1" x14ac:dyDescent="0.2">
      <c r="A494" s="74"/>
      <c r="B494" s="75"/>
      <c r="C494" s="4" t="s">
        <v>10</v>
      </c>
      <c r="D494" s="35"/>
      <c r="E494" s="36"/>
      <c r="F494" s="36"/>
      <c r="G494" s="36"/>
      <c r="H494" s="37"/>
      <c r="I494" s="35"/>
      <c r="J494" s="36"/>
      <c r="K494" s="36"/>
      <c r="L494" s="36"/>
      <c r="M494" s="37"/>
      <c r="N494" s="35"/>
      <c r="O494" s="36"/>
      <c r="P494" s="36"/>
      <c r="Q494" s="36"/>
      <c r="R494" s="37"/>
      <c r="S494" s="29" t="str">
        <f t="shared" si="264"/>
        <v xml:space="preserve"> </v>
      </c>
      <c r="T494" s="30" t="str">
        <f t="shared" si="265"/>
        <v xml:space="preserve"> </v>
      </c>
      <c r="U494" s="30" t="str">
        <f t="shared" si="266"/>
        <v xml:space="preserve"> </v>
      </c>
      <c r="V494" s="30" t="str">
        <f t="shared" si="267"/>
        <v xml:space="preserve"> </v>
      </c>
      <c r="W494" s="30" t="str">
        <f t="shared" si="267"/>
        <v xml:space="preserve"> </v>
      </c>
    </row>
    <row r="495" spans="1:23" s="38" customFormat="1" ht="27" customHeight="1" x14ac:dyDescent="0.2">
      <c r="A495" s="78"/>
      <c r="B495" s="79"/>
      <c r="C495" s="54" t="s">
        <v>230</v>
      </c>
      <c r="D495" s="55">
        <f>SUM(E495:H495)</f>
        <v>0</v>
      </c>
      <c r="E495" s="56">
        <f>SUM(E496)</f>
        <v>0</v>
      </c>
      <c r="F495" s="56">
        <f>SUM(F496)</f>
        <v>0</v>
      </c>
      <c r="G495" s="56">
        <f>SUM(G496)</f>
        <v>0</v>
      </c>
      <c r="H495" s="57">
        <f>SUM(H496)</f>
        <v>0</v>
      </c>
      <c r="I495" s="55">
        <f>SUM(J495:M495)</f>
        <v>8625</v>
      </c>
      <c r="J495" s="56">
        <f>SUM(J496)</f>
        <v>0</v>
      </c>
      <c r="K495" s="56">
        <f>SUM(K496)</f>
        <v>0</v>
      </c>
      <c r="L495" s="56">
        <f>SUM(L496)</f>
        <v>0</v>
      </c>
      <c r="M495" s="57">
        <f>SUM(M496)</f>
        <v>8625</v>
      </c>
      <c r="N495" s="55">
        <f>SUM(O495:R495)</f>
        <v>8625</v>
      </c>
      <c r="O495" s="56">
        <f>SUM(O496)</f>
        <v>0</v>
      </c>
      <c r="P495" s="56">
        <f>SUM(P496)</f>
        <v>0</v>
      </c>
      <c r="Q495" s="56">
        <f>SUM(Q496)</f>
        <v>0</v>
      </c>
      <c r="R495" s="57">
        <f>SUM(R496)</f>
        <v>8625</v>
      </c>
      <c r="S495" s="26">
        <f t="shared" si="264"/>
        <v>1</v>
      </c>
      <c r="T495" s="27" t="str">
        <f t="shared" si="265"/>
        <v xml:space="preserve"> </v>
      </c>
      <c r="U495" s="27" t="str">
        <f t="shared" si="266"/>
        <v xml:space="preserve"> </v>
      </c>
      <c r="V495" s="27" t="str">
        <f t="shared" si="267"/>
        <v xml:space="preserve"> </v>
      </c>
      <c r="W495" s="27">
        <f t="shared" si="267"/>
        <v>1</v>
      </c>
    </row>
    <row r="496" spans="1:23" ht="84.75" customHeight="1" x14ac:dyDescent="0.2">
      <c r="A496" s="74"/>
      <c r="B496" s="75"/>
      <c r="C496" s="4" t="s">
        <v>564</v>
      </c>
      <c r="D496" s="35">
        <f>SUM(E496:H496)</f>
        <v>0</v>
      </c>
      <c r="E496" s="36"/>
      <c r="F496" s="36"/>
      <c r="G496" s="36"/>
      <c r="H496" s="37">
        <v>0</v>
      </c>
      <c r="I496" s="35">
        <f>SUM(J496:M496)</f>
        <v>8625</v>
      </c>
      <c r="J496" s="36"/>
      <c r="K496" s="36"/>
      <c r="L496" s="36"/>
      <c r="M496" s="37">
        <v>8625</v>
      </c>
      <c r="N496" s="35">
        <f>SUM(O496:R496)</f>
        <v>8625</v>
      </c>
      <c r="O496" s="36"/>
      <c r="P496" s="36"/>
      <c r="Q496" s="36"/>
      <c r="R496" s="37">
        <v>8625</v>
      </c>
      <c r="S496" s="29">
        <f t="shared" si="264"/>
        <v>1</v>
      </c>
      <c r="T496" s="30" t="str">
        <f t="shared" si="265"/>
        <v xml:space="preserve"> </v>
      </c>
      <c r="U496" s="30" t="str">
        <f t="shared" si="266"/>
        <v xml:space="preserve"> </v>
      </c>
      <c r="V496" s="30" t="str">
        <f t="shared" si="267"/>
        <v xml:space="preserve"> </v>
      </c>
      <c r="W496" s="30">
        <f t="shared" si="267"/>
        <v>1</v>
      </c>
    </row>
    <row r="497" spans="1:23" s="38" customFormat="1" ht="59.25" customHeight="1" x14ac:dyDescent="0.2">
      <c r="A497" s="72">
        <v>1075</v>
      </c>
      <c r="B497" s="76">
        <v>32001</v>
      </c>
      <c r="C497" s="1" t="s">
        <v>565</v>
      </c>
      <c r="D497" s="5">
        <f>SUM(E497:H497)</f>
        <v>0</v>
      </c>
      <c r="E497" s="6">
        <f>+E499</f>
        <v>0</v>
      </c>
      <c r="F497" s="6">
        <f>+F499</f>
        <v>0</v>
      </c>
      <c r="G497" s="6">
        <f>+G499</f>
        <v>0</v>
      </c>
      <c r="H497" s="7">
        <f>+H499</f>
        <v>0</v>
      </c>
      <c r="I497" s="5">
        <f>SUM(J497:M497)</f>
        <v>80362.3</v>
      </c>
      <c r="J497" s="6">
        <f>+J499</f>
        <v>0</v>
      </c>
      <c r="K497" s="6">
        <f>+K499</f>
        <v>80362.3</v>
      </c>
      <c r="L497" s="6">
        <f>+L499</f>
        <v>0</v>
      </c>
      <c r="M497" s="7">
        <f>+M499</f>
        <v>0</v>
      </c>
      <c r="N497" s="5">
        <f t="shared" si="273"/>
        <v>80361.8</v>
      </c>
      <c r="O497" s="6">
        <f>+O499</f>
        <v>0</v>
      </c>
      <c r="P497" s="6">
        <f>+P499</f>
        <v>80361.8</v>
      </c>
      <c r="Q497" s="6">
        <f>+Q499</f>
        <v>0</v>
      </c>
      <c r="R497" s="7">
        <f>+R499</f>
        <v>0</v>
      </c>
      <c r="S497" s="26">
        <f t="shared" si="264"/>
        <v>0.99999377817708057</v>
      </c>
      <c r="T497" s="27" t="str">
        <f t="shared" si="265"/>
        <v xml:space="preserve"> </v>
      </c>
      <c r="U497" s="27">
        <f t="shared" si="266"/>
        <v>0.99999377817708057</v>
      </c>
      <c r="V497" s="27" t="str">
        <f t="shared" si="267"/>
        <v xml:space="preserve"> </v>
      </c>
      <c r="W497" s="27" t="str">
        <f t="shared" si="267"/>
        <v xml:space="preserve"> </v>
      </c>
    </row>
    <row r="498" spans="1:23" ht="25.5" customHeight="1" x14ac:dyDescent="0.2">
      <c r="A498" s="72"/>
      <c r="B498" s="76"/>
      <c r="C498" s="4" t="s">
        <v>10</v>
      </c>
      <c r="D498" s="5"/>
      <c r="E498" s="6"/>
      <c r="F498" s="6"/>
      <c r="G498" s="6"/>
      <c r="H498" s="7"/>
      <c r="I498" s="5"/>
      <c r="J498" s="6"/>
      <c r="K498" s="6"/>
      <c r="L498" s="6"/>
      <c r="M498" s="7"/>
      <c r="N498" s="5"/>
      <c r="O498" s="6"/>
      <c r="P498" s="6"/>
      <c r="Q498" s="6"/>
      <c r="R498" s="7"/>
      <c r="S498" s="29" t="str">
        <f t="shared" si="264"/>
        <v xml:space="preserve"> </v>
      </c>
      <c r="T498" s="30" t="str">
        <f t="shared" si="265"/>
        <v xml:space="preserve"> </v>
      </c>
      <c r="U498" s="30" t="str">
        <f t="shared" si="266"/>
        <v xml:space="preserve"> </v>
      </c>
      <c r="V498" s="30" t="str">
        <f t="shared" si="267"/>
        <v xml:space="preserve"> </v>
      </c>
      <c r="W498" s="30" t="str">
        <f t="shared" si="267"/>
        <v xml:space="preserve"> </v>
      </c>
    </row>
    <row r="499" spans="1:23" s="38" customFormat="1" ht="27" customHeight="1" x14ac:dyDescent="0.2">
      <c r="A499" s="78"/>
      <c r="B499" s="79"/>
      <c r="C499" s="54" t="s">
        <v>220</v>
      </c>
      <c r="D499" s="55">
        <f>SUM(E499:H499)</f>
        <v>0</v>
      </c>
      <c r="E499" s="56">
        <f>SUM(E500)</f>
        <v>0</v>
      </c>
      <c r="F499" s="56">
        <f>SUM(F500)</f>
        <v>0</v>
      </c>
      <c r="G499" s="56">
        <f>SUM(G500)</f>
        <v>0</v>
      </c>
      <c r="H499" s="57">
        <f>SUM(H500)</f>
        <v>0</v>
      </c>
      <c r="I499" s="55">
        <f>SUM(J499:M499)</f>
        <v>80362.3</v>
      </c>
      <c r="J499" s="56">
        <f>SUM(J500)</f>
        <v>0</v>
      </c>
      <c r="K499" s="56">
        <f>SUM(K500)</f>
        <v>80362.3</v>
      </c>
      <c r="L499" s="56">
        <f>SUM(L500)</f>
        <v>0</v>
      </c>
      <c r="M499" s="57">
        <f>SUM(M500)</f>
        <v>0</v>
      </c>
      <c r="N499" s="55">
        <f>SUM(O499:R499)</f>
        <v>80361.8</v>
      </c>
      <c r="O499" s="56">
        <f>SUM(O500)</f>
        <v>0</v>
      </c>
      <c r="P499" s="56">
        <f>SUM(P500)</f>
        <v>80361.8</v>
      </c>
      <c r="Q499" s="56">
        <f>SUM(Q500)</f>
        <v>0</v>
      </c>
      <c r="R499" s="57">
        <f>SUM(R500)</f>
        <v>0</v>
      </c>
      <c r="S499" s="26">
        <f t="shared" si="264"/>
        <v>0.99999377817708057</v>
      </c>
      <c r="T499" s="27" t="str">
        <f t="shared" si="265"/>
        <v xml:space="preserve"> </v>
      </c>
      <c r="U499" s="27">
        <f t="shared" si="266"/>
        <v>0.99999377817708057</v>
      </c>
      <c r="V499" s="27" t="str">
        <f t="shared" si="267"/>
        <v xml:space="preserve"> </v>
      </c>
      <c r="W499" s="27" t="str">
        <f t="shared" si="267"/>
        <v xml:space="preserve"> </v>
      </c>
    </row>
    <row r="500" spans="1:23" ht="39" customHeight="1" x14ac:dyDescent="0.2">
      <c r="A500" s="74"/>
      <c r="B500" s="75"/>
      <c r="C500" s="4" t="s">
        <v>566</v>
      </c>
      <c r="D500" s="35">
        <f>SUM(E500:H500)</f>
        <v>0</v>
      </c>
      <c r="E500" s="36"/>
      <c r="F500" s="36">
        <v>0</v>
      </c>
      <c r="G500" s="36"/>
      <c r="H500" s="37"/>
      <c r="I500" s="35">
        <f>SUM(J500:M500)</f>
        <v>80362.3</v>
      </c>
      <c r="J500" s="36"/>
      <c r="K500" s="36">
        <v>80362.3</v>
      </c>
      <c r="L500" s="36"/>
      <c r="M500" s="37"/>
      <c r="N500" s="35">
        <f>SUM(O500:R500)</f>
        <v>80361.8</v>
      </c>
      <c r="O500" s="36"/>
      <c r="P500" s="36">
        <v>80361.8</v>
      </c>
      <c r="Q500" s="36"/>
      <c r="R500" s="37"/>
      <c r="S500" s="29">
        <f t="shared" si="264"/>
        <v>0.99999377817708057</v>
      </c>
      <c r="T500" s="30" t="str">
        <f t="shared" si="265"/>
        <v xml:space="preserve"> </v>
      </c>
      <c r="U500" s="30">
        <f t="shared" si="266"/>
        <v>0.99999377817708057</v>
      </c>
      <c r="V500" s="30" t="str">
        <f t="shared" si="267"/>
        <v xml:space="preserve"> </v>
      </c>
      <c r="W500" s="30" t="str">
        <f t="shared" si="267"/>
        <v xml:space="preserve"> </v>
      </c>
    </row>
    <row r="501" spans="1:23" ht="81" customHeight="1" x14ac:dyDescent="0.2">
      <c r="A501" s="72">
        <v>1075</v>
      </c>
      <c r="B501" s="76">
        <v>32008</v>
      </c>
      <c r="C501" s="1" t="s">
        <v>567</v>
      </c>
      <c r="D501" s="5">
        <f>SUM(E501:H501)</f>
        <v>0</v>
      </c>
      <c r="E501" s="6">
        <f>+E503+E520+E522</f>
        <v>0</v>
      </c>
      <c r="F501" s="6">
        <f>+F503+F520+F522</f>
        <v>0</v>
      </c>
      <c r="G501" s="6">
        <f>+G503+G520+G522</f>
        <v>0</v>
      </c>
      <c r="H501" s="7">
        <f>+H503+H520+H522</f>
        <v>0</v>
      </c>
      <c r="I501" s="5">
        <f>SUM(J501:M501)</f>
        <v>43600</v>
      </c>
      <c r="J501" s="6">
        <f>+J503+J520+J522</f>
        <v>0</v>
      </c>
      <c r="K501" s="6">
        <f>+K503+K520+K522</f>
        <v>0</v>
      </c>
      <c r="L501" s="6">
        <f>+L503+L520+L522</f>
        <v>0</v>
      </c>
      <c r="M501" s="7">
        <f>+M503+M520+M522</f>
        <v>43600</v>
      </c>
      <c r="N501" s="5">
        <f>SUM(O501:R501)</f>
        <v>43164</v>
      </c>
      <c r="O501" s="6">
        <f>+O503+O520+O522</f>
        <v>0</v>
      </c>
      <c r="P501" s="6">
        <f>+P503+P520+P522</f>
        <v>0</v>
      </c>
      <c r="Q501" s="6">
        <f>+Q503+Q520+Q522</f>
        <v>0</v>
      </c>
      <c r="R501" s="7">
        <f>+R503+R520+R522</f>
        <v>43164</v>
      </c>
      <c r="S501" s="26">
        <f t="shared" si="264"/>
        <v>0.99</v>
      </c>
      <c r="T501" s="27" t="str">
        <f t="shared" si="265"/>
        <v xml:space="preserve"> </v>
      </c>
      <c r="U501" s="27" t="str">
        <f t="shared" si="266"/>
        <v xml:space="preserve"> </v>
      </c>
      <c r="V501" s="27" t="str">
        <f t="shared" si="267"/>
        <v xml:space="preserve"> </v>
      </c>
      <c r="W501" s="27">
        <f t="shared" si="267"/>
        <v>0.99</v>
      </c>
    </row>
    <row r="502" spans="1:23" ht="25.5" customHeight="1" x14ac:dyDescent="0.2">
      <c r="A502" s="72"/>
      <c r="B502" s="76"/>
      <c r="C502" s="4" t="s">
        <v>10</v>
      </c>
      <c r="D502" s="5"/>
      <c r="E502" s="6"/>
      <c r="F502" s="6"/>
      <c r="G502" s="6"/>
      <c r="H502" s="7"/>
      <c r="I502" s="5"/>
      <c r="J502" s="6"/>
      <c r="K502" s="6"/>
      <c r="L502" s="6"/>
      <c r="M502" s="7"/>
      <c r="N502" s="5"/>
      <c r="O502" s="6"/>
      <c r="P502" s="6"/>
      <c r="Q502" s="6"/>
      <c r="R502" s="7"/>
      <c r="S502" s="29" t="str">
        <f t="shared" si="264"/>
        <v xml:space="preserve"> </v>
      </c>
      <c r="T502" s="30" t="str">
        <f t="shared" si="265"/>
        <v xml:space="preserve"> </v>
      </c>
      <c r="U502" s="30" t="str">
        <f t="shared" si="266"/>
        <v xml:space="preserve"> </v>
      </c>
      <c r="V502" s="30" t="str">
        <f t="shared" si="267"/>
        <v xml:space="preserve"> </v>
      </c>
      <c r="W502" s="30" t="str">
        <f t="shared" si="267"/>
        <v xml:space="preserve"> </v>
      </c>
    </row>
    <row r="503" spans="1:23" s="38" customFormat="1" ht="29.25" customHeight="1" x14ac:dyDescent="0.2">
      <c r="A503" s="78"/>
      <c r="B503" s="79"/>
      <c r="C503" s="54" t="s">
        <v>220</v>
      </c>
      <c r="D503" s="55">
        <f>SUM(E503:H503)</f>
        <v>0</v>
      </c>
      <c r="E503" s="56">
        <f>+E504+E505+E506+E507+E508+E509+E510+E511+E512+E513+E514+E515+E516+E517+E518+E519</f>
        <v>0</v>
      </c>
      <c r="F503" s="56">
        <f>+F504+F505+F506+F507+F508+F509+F510+F511+F512+F513+F514+F515+F516+F517+F518+F519</f>
        <v>0</v>
      </c>
      <c r="G503" s="56">
        <f>+G504+G505+G506+G507+G508+G509+G510+G511+G512+G513+G514+G515+G516+G517+G518+G519</f>
        <v>0</v>
      </c>
      <c r="H503" s="57">
        <f>+H504+H505+H506+H507+H508+H509+H510+H511+H512+H513+H514+H515+H516+H517+H518+H519</f>
        <v>0</v>
      </c>
      <c r="I503" s="55">
        <f>SUM(J503:M503)</f>
        <v>38000</v>
      </c>
      <c r="J503" s="56">
        <f>+J504+J505+J506+J507+J508+J509+J510+J511+J512+J513+J514+J515+J516+J517+J518+J519</f>
        <v>0</v>
      </c>
      <c r="K503" s="56">
        <f>+K504+K505+K506+K507+K508+K509+K510+K511+K512+K513+K514+K515+K516+K517+K518+K519</f>
        <v>0</v>
      </c>
      <c r="L503" s="56">
        <f>+L504+L505+L506+L507+L508+L509+L510+L511+L512+L513+L514+L515+L516+L517+L518+L519</f>
        <v>0</v>
      </c>
      <c r="M503" s="57">
        <f>+M504+M505+M506+M507+M508+M509+M510+M511+M512+M513+M514+M515+M516+M517+M518+M519</f>
        <v>38000</v>
      </c>
      <c r="N503" s="55">
        <f>SUM(O503:R503)</f>
        <v>37620</v>
      </c>
      <c r="O503" s="56">
        <f>+O504+O505+O506+O507+O508+O509+O510+O511+O512+O513+O514+O515+O516+O517+O518+O519</f>
        <v>0</v>
      </c>
      <c r="P503" s="56">
        <f>+P504+P505+P506+P507+P508+P509+P510+P511+P512+P513+P514+P515+P516+P517+P518+P519</f>
        <v>0</v>
      </c>
      <c r="Q503" s="56">
        <f>+Q504+Q505+Q506+Q507+Q508+Q509+Q510+Q511+Q512+Q513+Q514+Q515+Q516+Q517+Q518+Q519</f>
        <v>0</v>
      </c>
      <c r="R503" s="57">
        <f>+R504+R505+R506+R507+R508+R509+R510+R511+R512+R513+R514+R515+R516+R517+R518+R519</f>
        <v>37620</v>
      </c>
      <c r="S503" s="26">
        <f t="shared" si="264"/>
        <v>0.99</v>
      </c>
      <c r="T503" s="27" t="str">
        <f t="shared" si="265"/>
        <v xml:space="preserve"> </v>
      </c>
      <c r="U503" s="27" t="str">
        <f t="shared" si="266"/>
        <v xml:space="preserve"> </v>
      </c>
      <c r="V503" s="27" t="str">
        <f t="shared" si="267"/>
        <v xml:space="preserve"> </v>
      </c>
      <c r="W503" s="27">
        <f t="shared" si="267"/>
        <v>0.99</v>
      </c>
    </row>
    <row r="504" spans="1:23" ht="49.5" x14ac:dyDescent="0.2">
      <c r="A504" s="74"/>
      <c r="B504" s="75"/>
      <c r="C504" s="4" t="s">
        <v>568</v>
      </c>
      <c r="D504" s="35">
        <f>SUM(E504:H504)</f>
        <v>0</v>
      </c>
      <c r="E504" s="36"/>
      <c r="F504" s="36"/>
      <c r="G504" s="36"/>
      <c r="H504" s="37">
        <v>0</v>
      </c>
      <c r="I504" s="35">
        <f>SUM(J504:M504)</f>
        <v>4000</v>
      </c>
      <c r="J504" s="36"/>
      <c r="K504" s="36"/>
      <c r="L504" s="36"/>
      <c r="M504" s="37">
        <v>4000</v>
      </c>
      <c r="N504" s="35">
        <f>SUM(O504:R504)</f>
        <v>3960</v>
      </c>
      <c r="O504" s="36"/>
      <c r="P504" s="36"/>
      <c r="Q504" s="36"/>
      <c r="R504" s="37">
        <v>3960</v>
      </c>
      <c r="S504" s="29">
        <f t="shared" si="264"/>
        <v>0.99</v>
      </c>
      <c r="T504" s="30" t="str">
        <f t="shared" si="265"/>
        <v xml:space="preserve"> </v>
      </c>
      <c r="U504" s="30" t="str">
        <f t="shared" si="266"/>
        <v xml:space="preserve"> </v>
      </c>
      <c r="V504" s="30" t="str">
        <f t="shared" si="267"/>
        <v xml:space="preserve"> </v>
      </c>
      <c r="W504" s="30">
        <f t="shared" si="267"/>
        <v>0.99</v>
      </c>
    </row>
    <row r="505" spans="1:23" ht="45.75" customHeight="1" x14ac:dyDescent="0.2">
      <c r="A505" s="74"/>
      <c r="B505" s="75"/>
      <c r="C505" s="4" t="s">
        <v>569</v>
      </c>
      <c r="D505" s="35">
        <f t="shared" ref="D505:D524" si="274">SUM(E505:H505)</f>
        <v>0</v>
      </c>
      <c r="E505" s="36"/>
      <c r="F505" s="36"/>
      <c r="G505" s="36"/>
      <c r="H505" s="37">
        <v>0</v>
      </c>
      <c r="I505" s="35">
        <f t="shared" ref="I505:I524" si="275">SUM(J505:M505)</f>
        <v>1200</v>
      </c>
      <c r="J505" s="36"/>
      <c r="K505" s="36"/>
      <c r="L505" s="36"/>
      <c r="M505" s="37">
        <v>1200</v>
      </c>
      <c r="N505" s="35">
        <f t="shared" ref="N505:N525" si="276">SUM(O505:R505)</f>
        <v>1188</v>
      </c>
      <c r="O505" s="36"/>
      <c r="P505" s="36"/>
      <c r="Q505" s="36"/>
      <c r="R505" s="37">
        <v>1188</v>
      </c>
      <c r="S505" s="29">
        <f t="shared" si="264"/>
        <v>0.99</v>
      </c>
      <c r="T505" s="30" t="str">
        <f t="shared" si="265"/>
        <v xml:space="preserve"> </v>
      </c>
      <c r="U505" s="30" t="str">
        <f t="shared" si="266"/>
        <v xml:space="preserve"> </v>
      </c>
      <c r="V505" s="30" t="str">
        <f t="shared" si="267"/>
        <v xml:space="preserve"> </v>
      </c>
      <c r="W505" s="30">
        <f t="shared" si="267"/>
        <v>0.99</v>
      </c>
    </row>
    <row r="506" spans="1:23" ht="39" customHeight="1" x14ac:dyDescent="0.2">
      <c r="A506" s="74"/>
      <c r="B506" s="75"/>
      <c r="C506" s="4" t="s">
        <v>570</v>
      </c>
      <c r="D506" s="35">
        <f t="shared" si="274"/>
        <v>0</v>
      </c>
      <c r="E506" s="36"/>
      <c r="F506" s="36"/>
      <c r="G506" s="36"/>
      <c r="H506" s="37">
        <v>0</v>
      </c>
      <c r="I506" s="35">
        <f t="shared" si="275"/>
        <v>800</v>
      </c>
      <c r="J506" s="36"/>
      <c r="K506" s="36"/>
      <c r="L506" s="36"/>
      <c r="M506" s="37">
        <v>800</v>
      </c>
      <c r="N506" s="35">
        <f t="shared" si="276"/>
        <v>792</v>
      </c>
      <c r="O506" s="36"/>
      <c r="P506" s="36"/>
      <c r="Q506" s="36"/>
      <c r="R506" s="37">
        <v>792</v>
      </c>
      <c r="S506" s="29">
        <f t="shared" si="264"/>
        <v>0.99</v>
      </c>
      <c r="T506" s="30" t="str">
        <f t="shared" si="265"/>
        <v xml:space="preserve"> </v>
      </c>
      <c r="U506" s="30" t="str">
        <f t="shared" si="266"/>
        <v xml:space="preserve"> </v>
      </c>
      <c r="V506" s="30" t="str">
        <f t="shared" si="267"/>
        <v xml:space="preserve"> </v>
      </c>
      <c r="W506" s="30">
        <f t="shared" si="267"/>
        <v>0.99</v>
      </c>
    </row>
    <row r="507" spans="1:23" ht="40.5" customHeight="1" x14ac:dyDescent="0.2">
      <c r="A507" s="74"/>
      <c r="B507" s="75"/>
      <c r="C507" s="4" t="s">
        <v>571</v>
      </c>
      <c r="D507" s="35">
        <f t="shared" si="274"/>
        <v>0</v>
      </c>
      <c r="E507" s="36"/>
      <c r="F507" s="36"/>
      <c r="G507" s="36"/>
      <c r="H507" s="37">
        <v>0</v>
      </c>
      <c r="I507" s="35">
        <f t="shared" si="275"/>
        <v>800</v>
      </c>
      <c r="J507" s="36"/>
      <c r="K507" s="36"/>
      <c r="L507" s="36"/>
      <c r="M507" s="37">
        <v>800</v>
      </c>
      <c r="N507" s="35">
        <f t="shared" si="276"/>
        <v>792</v>
      </c>
      <c r="O507" s="36"/>
      <c r="P507" s="36"/>
      <c r="Q507" s="36"/>
      <c r="R507" s="37">
        <v>792</v>
      </c>
      <c r="S507" s="29">
        <f t="shared" si="264"/>
        <v>0.99</v>
      </c>
      <c r="T507" s="30" t="str">
        <f t="shared" si="265"/>
        <v xml:space="preserve"> </v>
      </c>
      <c r="U507" s="30" t="str">
        <f t="shared" si="266"/>
        <v xml:space="preserve"> </v>
      </c>
      <c r="V507" s="30" t="str">
        <f t="shared" si="267"/>
        <v xml:space="preserve"> </v>
      </c>
      <c r="W507" s="30">
        <f t="shared" si="267"/>
        <v>0.99</v>
      </c>
    </row>
    <row r="508" spans="1:23" ht="46.5" customHeight="1" x14ac:dyDescent="0.2">
      <c r="A508" s="74"/>
      <c r="B508" s="75"/>
      <c r="C508" s="4" t="s">
        <v>572</v>
      </c>
      <c r="D508" s="35">
        <f t="shared" si="274"/>
        <v>0</v>
      </c>
      <c r="E508" s="36"/>
      <c r="F508" s="36"/>
      <c r="G508" s="36"/>
      <c r="H508" s="37">
        <v>0</v>
      </c>
      <c r="I508" s="35">
        <f t="shared" si="275"/>
        <v>1200</v>
      </c>
      <c r="J508" s="36"/>
      <c r="K508" s="36"/>
      <c r="L508" s="36"/>
      <c r="M508" s="37">
        <v>1200</v>
      </c>
      <c r="N508" s="35">
        <f t="shared" si="276"/>
        <v>1188</v>
      </c>
      <c r="O508" s="36"/>
      <c r="P508" s="36"/>
      <c r="Q508" s="36"/>
      <c r="R508" s="37">
        <v>1188</v>
      </c>
      <c r="S508" s="29">
        <f t="shared" si="264"/>
        <v>0.99</v>
      </c>
      <c r="T508" s="30" t="str">
        <f t="shared" si="265"/>
        <v xml:space="preserve"> </v>
      </c>
      <c r="U508" s="30" t="str">
        <f t="shared" si="266"/>
        <v xml:space="preserve"> </v>
      </c>
      <c r="V508" s="30" t="str">
        <f t="shared" si="267"/>
        <v xml:space="preserve"> </v>
      </c>
      <c r="W508" s="30">
        <f t="shared" si="267"/>
        <v>0.99</v>
      </c>
    </row>
    <row r="509" spans="1:23" ht="27" customHeight="1" x14ac:dyDescent="0.2">
      <c r="A509" s="74"/>
      <c r="B509" s="75"/>
      <c r="C509" s="4" t="s">
        <v>573</v>
      </c>
      <c r="D509" s="35">
        <f t="shared" si="274"/>
        <v>0</v>
      </c>
      <c r="E509" s="36"/>
      <c r="F509" s="36"/>
      <c r="G509" s="36"/>
      <c r="H509" s="37">
        <v>0</v>
      </c>
      <c r="I509" s="35">
        <f t="shared" si="275"/>
        <v>400</v>
      </c>
      <c r="J509" s="36"/>
      <c r="K509" s="36"/>
      <c r="L509" s="36"/>
      <c r="M509" s="37">
        <v>400</v>
      </c>
      <c r="N509" s="35">
        <f t="shared" si="276"/>
        <v>396</v>
      </c>
      <c r="O509" s="36"/>
      <c r="P509" s="36"/>
      <c r="Q509" s="36"/>
      <c r="R509" s="37">
        <v>396</v>
      </c>
      <c r="S509" s="29">
        <f t="shared" si="264"/>
        <v>0.99</v>
      </c>
      <c r="T509" s="30" t="str">
        <f t="shared" si="265"/>
        <v xml:space="preserve"> </v>
      </c>
      <c r="U509" s="30" t="str">
        <f t="shared" si="266"/>
        <v xml:space="preserve"> </v>
      </c>
      <c r="V509" s="30" t="str">
        <f t="shared" si="267"/>
        <v xml:space="preserve"> </v>
      </c>
      <c r="W509" s="30">
        <f t="shared" si="267"/>
        <v>0.99</v>
      </c>
    </row>
    <row r="510" spans="1:23" ht="42.75" customHeight="1" x14ac:dyDescent="0.2">
      <c r="A510" s="74"/>
      <c r="B510" s="75"/>
      <c r="C510" s="4" t="s">
        <v>566</v>
      </c>
      <c r="D510" s="35">
        <f t="shared" si="274"/>
        <v>0</v>
      </c>
      <c r="E510" s="36"/>
      <c r="F510" s="36"/>
      <c r="G510" s="36"/>
      <c r="H510" s="37">
        <v>0</v>
      </c>
      <c r="I510" s="35">
        <f t="shared" si="275"/>
        <v>4000</v>
      </c>
      <c r="J510" s="36"/>
      <c r="K510" s="36"/>
      <c r="L510" s="36"/>
      <c r="M510" s="37">
        <v>4000</v>
      </c>
      <c r="N510" s="35">
        <f t="shared" si="276"/>
        <v>3960</v>
      </c>
      <c r="O510" s="36"/>
      <c r="P510" s="36"/>
      <c r="Q510" s="36"/>
      <c r="R510" s="37">
        <v>3960</v>
      </c>
      <c r="S510" s="29">
        <f t="shared" si="264"/>
        <v>0.99</v>
      </c>
      <c r="T510" s="30" t="str">
        <f t="shared" si="265"/>
        <v xml:space="preserve"> </v>
      </c>
      <c r="U510" s="30" t="str">
        <f t="shared" si="266"/>
        <v xml:space="preserve"> </v>
      </c>
      <c r="V510" s="30" t="str">
        <f t="shared" si="267"/>
        <v xml:space="preserve"> </v>
      </c>
      <c r="W510" s="30">
        <f t="shared" si="267"/>
        <v>0.99</v>
      </c>
    </row>
    <row r="511" spans="1:23" ht="60.75" customHeight="1" x14ac:dyDescent="0.2">
      <c r="A511" s="74"/>
      <c r="B511" s="75"/>
      <c r="C511" s="4" t="s">
        <v>574</v>
      </c>
      <c r="D511" s="35">
        <f t="shared" si="274"/>
        <v>0</v>
      </c>
      <c r="E511" s="36"/>
      <c r="F511" s="36"/>
      <c r="G511" s="36"/>
      <c r="H511" s="37">
        <v>0</v>
      </c>
      <c r="I511" s="35">
        <f t="shared" si="275"/>
        <v>4800</v>
      </c>
      <c r="J511" s="36"/>
      <c r="K511" s="36"/>
      <c r="L511" s="36"/>
      <c r="M511" s="37">
        <v>4800</v>
      </c>
      <c r="N511" s="35">
        <f t="shared" si="276"/>
        <v>4752</v>
      </c>
      <c r="O511" s="36"/>
      <c r="P511" s="36"/>
      <c r="Q511" s="36"/>
      <c r="R511" s="37">
        <v>4752</v>
      </c>
      <c r="S511" s="29">
        <f t="shared" si="264"/>
        <v>0.99</v>
      </c>
      <c r="T511" s="30" t="str">
        <f t="shared" si="265"/>
        <v xml:space="preserve"> </v>
      </c>
      <c r="U511" s="30" t="str">
        <f t="shared" si="266"/>
        <v xml:space="preserve"> </v>
      </c>
      <c r="V511" s="30" t="str">
        <f t="shared" si="267"/>
        <v xml:space="preserve"> </v>
      </c>
      <c r="W511" s="30">
        <f t="shared" si="267"/>
        <v>0.99</v>
      </c>
    </row>
    <row r="512" spans="1:23" ht="44.25" customHeight="1" x14ac:dyDescent="0.2">
      <c r="A512" s="74"/>
      <c r="B512" s="75"/>
      <c r="C512" s="4" t="s">
        <v>575</v>
      </c>
      <c r="D512" s="35">
        <f t="shared" si="274"/>
        <v>0</v>
      </c>
      <c r="E512" s="36"/>
      <c r="F512" s="36"/>
      <c r="G512" s="36"/>
      <c r="H512" s="37">
        <v>0</v>
      </c>
      <c r="I512" s="35">
        <f t="shared" si="275"/>
        <v>1200</v>
      </c>
      <c r="J512" s="36"/>
      <c r="K512" s="36"/>
      <c r="L512" s="36"/>
      <c r="M512" s="37">
        <v>1200</v>
      </c>
      <c r="N512" s="35">
        <f t="shared" si="276"/>
        <v>1188</v>
      </c>
      <c r="O512" s="36"/>
      <c r="P512" s="36"/>
      <c r="Q512" s="36"/>
      <c r="R512" s="37">
        <v>1188</v>
      </c>
      <c r="S512" s="29">
        <f t="shared" si="264"/>
        <v>0.99</v>
      </c>
      <c r="T512" s="30" t="str">
        <f t="shared" si="265"/>
        <v xml:space="preserve"> </v>
      </c>
      <c r="U512" s="30" t="str">
        <f t="shared" si="266"/>
        <v xml:space="preserve"> </v>
      </c>
      <c r="V512" s="30" t="str">
        <f t="shared" si="267"/>
        <v xml:space="preserve"> </v>
      </c>
      <c r="W512" s="30">
        <f t="shared" si="267"/>
        <v>0.99</v>
      </c>
    </row>
    <row r="513" spans="1:23" ht="47.25" customHeight="1" x14ac:dyDescent="0.2">
      <c r="A513" s="74"/>
      <c r="B513" s="75"/>
      <c r="C513" s="4" t="s">
        <v>576</v>
      </c>
      <c r="D513" s="35">
        <f t="shared" si="274"/>
        <v>0</v>
      </c>
      <c r="E513" s="36"/>
      <c r="F513" s="36"/>
      <c r="G513" s="36"/>
      <c r="H513" s="37">
        <v>0</v>
      </c>
      <c r="I513" s="35">
        <f t="shared" si="275"/>
        <v>1200</v>
      </c>
      <c r="J513" s="36"/>
      <c r="K513" s="36"/>
      <c r="L513" s="36"/>
      <c r="M513" s="37">
        <v>1200</v>
      </c>
      <c r="N513" s="35">
        <f t="shared" si="276"/>
        <v>1188</v>
      </c>
      <c r="O513" s="36"/>
      <c r="P513" s="36"/>
      <c r="Q513" s="36"/>
      <c r="R513" s="37">
        <v>1188</v>
      </c>
      <c r="S513" s="29">
        <f t="shared" si="264"/>
        <v>0.99</v>
      </c>
      <c r="T513" s="30" t="str">
        <f t="shared" si="265"/>
        <v xml:space="preserve"> </v>
      </c>
      <c r="U513" s="30" t="str">
        <f t="shared" si="266"/>
        <v xml:space="preserve"> </v>
      </c>
      <c r="V513" s="30" t="str">
        <f t="shared" si="267"/>
        <v xml:space="preserve"> </v>
      </c>
      <c r="W513" s="30">
        <f t="shared" si="267"/>
        <v>0.99</v>
      </c>
    </row>
    <row r="514" spans="1:23" ht="45.75" customHeight="1" x14ac:dyDescent="0.2">
      <c r="A514" s="74"/>
      <c r="B514" s="75"/>
      <c r="C514" s="4" t="s">
        <v>577</v>
      </c>
      <c r="D514" s="35">
        <f t="shared" si="274"/>
        <v>0</v>
      </c>
      <c r="E514" s="36"/>
      <c r="F514" s="36"/>
      <c r="G514" s="36"/>
      <c r="H514" s="37">
        <v>0</v>
      </c>
      <c r="I514" s="35">
        <f t="shared" si="275"/>
        <v>1600</v>
      </c>
      <c r="J514" s="36"/>
      <c r="K514" s="36"/>
      <c r="L514" s="36"/>
      <c r="M514" s="37">
        <v>1600</v>
      </c>
      <c r="N514" s="35">
        <f t="shared" si="276"/>
        <v>1584</v>
      </c>
      <c r="O514" s="36"/>
      <c r="P514" s="36"/>
      <c r="Q514" s="36"/>
      <c r="R514" s="37">
        <v>1584</v>
      </c>
      <c r="S514" s="29">
        <f t="shared" si="264"/>
        <v>0.99</v>
      </c>
      <c r="T514" s="30" t="str">
        <f t="shared" si="265"/>
        <v xml:space="preserve"> </v>
      </c>
      <c r="U514" s="30" t="str">
        <f t="shared" si="266"/>
        <v xml:space="preserve"> </v>
      </c>
      <c r="V514" s="30" t="str">
        <f t="shared" si="267"/>
        <v xml:space="preserve"> </v>
      </c>
      <c r="W514" s="30">
        <f t="shared" si="267"/>
        <v>0.99</v>
      </c>
    </row>
    <row r="515" spans="1:23" ht="47.25" customHeight="1" x14ac:dyDescent="0.2">
      <c r="A515" s="74"/>
      <c r="B515" s="75"/>
      <c r="C515" s="4" t="s">
        <v>578</v>
      </c>
      <c r="D515" s="35">
        <f t="shared" si="274"/>
        <v>0</v>
      </c>
      <c r="E515" s="36"/>
      <c r="F515" s="36"/>
      <c r="G515" s="36"/>
      <c r="H515" s="37">
        <v>0</v>
      </c>
      <c r="I515" s="35">
        <f t="shared" si="275"/>
        <v>800</v>
      </c>
      <c r="J515" s="36"/>
      <c r="K515" s="36"/>
      <c r="L515" s="36"/>
      <c r="M515" s="37">
        <v>800</v>
      </c>
      <c r="N515" s="35">
        <f t="shared" si="276"/>
        <v>792</v>
      </c>
      <c r="O515" s="36"/>
      <c r="P515" s="36"/>
      <c r="Q515" s="36"/>
      <c r="R515" s="37">
        <v>792</v>
      </c>
      <c r="S515" s="29">
        <f t="shared" si="264"/>
        <v>0.99</v>
      </c>
      <c r="T515" s="30" t="str">
        <f t="shared" si="265"/>
        <v xml:space="preserve"> </v>
      </c>
      <c r="U515" s="30" t="str">
        <f t="shared" si="266"/>
        <v xml:space="preserve"> </v>
      </c>
      <c r="V515" s="30" t="str">
        <f t="shared" si="267"/>
        <v xml:space="preserve"> </v>
      </c>
      <c r="W515" s="30">
        <f t="shared" si="267"/>
        <v>0.99</v>
      </c>
    </row>
    <row r="516" spans="1:23" ht="47.25" customHeight="1" x14ac:dyDescent="0.2">
      <c r="A516" s="74"/>
      <c r="B516" s="75"/>
      <c r="C516" s="4" t="s">
        <v>579</v>
      </c>
      <c r="D516" s="35">
        <f t="shared" si="274"/>
        <v>0</v>
      </c>
      <c r="E516" s="36"/>
      <c r="F516" s="36"/>
      <c r="G516" s="36"/>
      <c r="H516" s="37">
        <v>0</v>
      </c>
      <c r="I516" s="35">
        <f t="shared" si="275"/>
        <v>2800</v>
      </c>
      <c r="J516" s="36"/>
      <c r="K516" s="36"/>
      <c r="L516" s="36"/>
      <c r="M516" s="37">
        <v>2800</v>
      </c>
      <c r="N516" s="35">
        <f t="shared" si="276"/>
        <v>2772</v>
      </c>
      <c r="O516" s="36"/>
      <c r="P516" s="36"/>
      <c r="Q516" s="36"/>
      <c r="R516" s="37">
        <v>2772</v>
      </c>
      <c r="S516" s="29">
        <f t="shared" si="264"/>
        <v>0.99</v>
      </c>
      <c r="T516" s="30" t="str">
        <f t="shared" si="265"/>
        <v xml:space="preserve"> </v>
      </c>
      <c r="U516" s="30" t="str">
        <f t="shared" si="266"/>
        <v xml:space="preserve"> </v>
      </c>
      <c r="V516" s="30" t="str">
        <f t="shared" si="267"/>
        <v xml:space="preserve"> </v>
      </c>
      <c r="W516" s="30">
        <f t="shared" si="267"/>
        <v>0.99</v>
      </c>
    </row>
    <row r="517" spans="1:23" ht="44.25" customHeight="1" x14ac:dyDescent="0.2">
      <c r="A517" s="74"/>
      <c r="B517" s="75"/>
      <c r="C517" s="4" t="s">
        <v>580</v>
      </c>
      <c r="D517" s="35">
        <f t="shared" si="274"/>
        <v>0</v>
      </c>
      <c r="E517" s="36"/>
      <c r="F517" s="36"/>
      <c r="G517" s="36"/>
      <c r="H517" s="37">
        <v>0</v>
      </c>
      <c r="I517" s="35">
        <f t="shared" si="275"/>
        <v>1600</v>
      </c>
      <c r="J517" s="36"/>
      <c r="K517" s="36"/>
      <c r="L517" s="36"/>
      <c r="M517" s="37">
        <v>1600</v>
      </c>
      <c r="N517" s="35">
        <f t="shared" si="276"/>
        <v>1584</v>
      </c>
      <c r="O517" s="36"/>
      <c r="P517" s="36"/>
      <c r="Q517" s="36"/>
      <c r="R517" s="37">
        <v>1584</v>
      </c>
      <c r="S517" s="29">
        <f t="shared" si="264"/>
        <v>0.99</v>
      </c>
      <c r="T517" s="30" t="str">
        <f t="shared" si="265"/>
        <v xml:space="preserve"> </v>
      </c>
      <c r="U517" s="30" t="str">
        <f t="shared" si="266"/>
        <v xml:space="preserve"> </v>
      </c>
      <c r="V517" s="30" t="str">
        <f t="shared" si="267"/>
        <v xml:space="preserve"> </v>
      </c>
      <c r="W517" s="30">
        <f t="shared" si="267"/>
        <v>0.99</v>
      </c>
    </row>
    <row r="518" spans="1:23" ht="48.75" customHeight="1" x14ac:dyDescent="0.2">
      <c r="A518" s="74"/>
      <c r="B518" s="75"/>
      <c r="C518" s="4" t="s">
        <v>581</v>
      </c>
      <c r="D518" s="35">
        <f t="shared" si="274"/>
        <v>0</v>
      </c>
      <c r="E518" s="36"/>
      <c r="F518" s="36"/>
      <c r="G518" s="36"/>
      <c r="H518" s="37">
        <v>0</v>
      </c>
      <c r="I518" s="35">
        <f t="shared" si="275"/>
        <v>800</v>
      </c>
      <c r="J518" s="36"/>
      <c r="K518" s="36"/>
      <c r="L518" s="36"/>
      <c r="M518" s="37">
        <v>800</v>
      </c>
      <c r="N518" s="35">
        <f t="shared" si="276"/>
        <v>792</v>
      </c>
      <c r="O518" s="36"/>
      <c r="P518" s="36"/>
      <c r="Q518" s="36"/>
      <c r="R518" s="37">
        <v>792</v>
      </c>
      <c r="S518" s="29">
        <f t="shared" si="264"/>
        <v>0.99</v>
      </c>
      <c r="T518" s="30" t="str">
        <f t="shared" si="265"/>
        <v xml:space="preserve"> </v>
      </c>
      <c r="U518" s="30" t="str">
        <f t="shared" si="266"/>
        <v xml:space="preserve"> </v>
      </c>
      <c r="V518" s="30" t="str">
        <f t="shared" si="267"/>
        <v xml:space="preserve"> </v>
      </c>
      <c r="W518" s="30">
        <f t="shared" si="267"/>
        <v>0.99</v>
      </c>
    </row>
    <row r="519" spans="1:23" ht="44.25" customHeight="1" x14ac:dyDescent="0.2">
      <c r="A519" s="74"/>
      <c r="B519" s="75"/>
      <c r="C519" s="4" t="s">
        <v>582</v>
      </c>
      <c r="D519" s="35">
        <f t="shared" si="274"/>
        <v>0</v>
      </c>
      <c r="E519" s="36"/>
      <c r="F519" s="36"/>
      <c r="G519" s="36"/>
      <c r="H519" s="37">
        <v>0</v>
      </c>
      <c r="I519" s="35">
        <f t="shared" si="275"/>
        <v>10800</v>
      </c>
      <c r="J519" s="36"/>
      <c r="K519" s="36"/>
      <c r="L519" s="36"/>
      <c r="M519" s="37">
        <v>10800</v>
      </c>
      <c r="N519" s="35">
        <f t="shared" si="276"/>
        <v>10692</v>
      </c>
      <c r="O519" s="36"/>
      <c r="P519" s="36"/>
      <c r="Q519" s="36"/>
      <c r="R519" s="37">
        <v>10692</v>
      </c>
      <c r="S519" s="29">
        <f t="shared" si="264"/>
        <v>0.99</v>
      </c>
      <c r="T519" s="30" t="str">
        <f t="shared" si="265"/>
        <v xml:space="preserve"> </v>
      </c>
      <c r="U519" s="30" t="str">
        <f t="shared" si="266"/>
        <v xml:space="preserve"> </v>
      </c>
      <c r="V519" s="30" t="str">
        <f t="shared" si="267"/>
        <v xml:space="preserve"> </v>
      </c>
      <c r="W519" s="30">
        <f t="shared" si="267"/>
        <v>0.99</v>
      </c>
    </row>
    <row r="520" spans="1:23" s="38" customFormat="1" ht="31.5" customHeight="1" x14ac:dyDescent="0.2">
      <c r="A520" s="78"/>
      <c r="B520" s="79"/>
      <c r="C520" s="54" t="s">
        <v>130</v>
      </c>
      <c r="D520" s="55">
        <f>SUM(E520:H520)</f>
        <v>0</v>
      </c>
      <c r="E520" s="56">
        <f>+E521</f>
        <v>0</v>
      </c>
      <c r="F520" s="56">
        <f>+F521</f>
        <v>0</v>
      </c>
      <c r="G520" s="56">
        <f>+G521</f>
        <v>0</v>
      </c>
      <c r="H520" s="57">
        <f>+H521</f>
        <v>0</v>
      </c>
      <c r="I520" s="55">
        <f>SUM(J520:M520)</f>
        <v>4000</v>
      </c>
      <c r="J520" s="56">
        <f>+J521</f>
        <v>0</v>
      </c>
      <c r="K520" s="56">
        <f>+K521</f>
        <v>0</v>
      </c>
      <c r="L520" s="56">
        <f>+L521</f>
        <v>0</v>
      </c>
      <c r="M520" s="57">
        <f>+M521</f>
        <v>4000</v>
      </c>
      <c r="N520" s="55">
        <f>SUM(O520:R520)</f>
        <v>3960</v>
      </c>
      <c r="O520" s="56">
        <f>+O521</f>
        <v>0</v>
      </c>
      <c r="P520" s="56">
        <f>+P521</f>
        <v>0</v>
      </c>
      <c r="Q520" s="56">
        <f>+Q521</f>
        <v>0</v>
      </c>
      <c r="R520" s="57">
        <f>+R521</f>
        <v>3960</v>
      </c>
      <c r="S520" s="26">
        <f t="shared" si="264"/>
        <v>0.99</v>
      </c>
      <c r="T520" s="27" t="str">
        <f t="shared" si="265"/>
        <v xml:space="preserve"> </v>
      </c>
      <c r="U520" s="27" t="str">
        <f t="shared" si="266"/>
        <v xml:space="preserve"> </v>
      </c>
      <c r="V520" s="27" t="str">
        <f t="shared" si="267"/>
        <v xml:space="preserve"> </v>
      </c>
      <c r="W520" s="27">
        <f t="shared" si="267"/>
        <v>0.99</v>
      </c>
    </row>
    <row r="521" spans="1:23" ht="83.25" customHeight="1" x14ac:dyDescent="0.2">
      <c r="A521" s="74"/>
      <c r="B521" s="75"/>
      <c r="C521" s="4" t="s">
        <v>583</v>
      </c>
      <c r="D521" s="35">
        <f t="shared" si="274"/>
        <v>0</v>
      </c>
      <c r="E521" s="36"/>
      <c r="F521" s="36"/>
      <c r="G521" s="36"/>
      <c r="H521" s="37">
        <v>0</v>
      </c>
      <c r="I521" s="35">
        <f t="shared" si="275"/>
        <v>4000</v>
      </c>
      <c r="J521" s="36"/>
      <c r="K521" s="36"/>
      <c r="L521" s="36"/>
      <c r="M521" s="37">
        <v>4000</v>
      </c>
      <c r="N521" s="35">
        <f t="shared" si="276"/>
        <v>3960</v>
      </c>
      <c r="O521" s="36"/>
      <c r="P521" s="36"/>
      <c r="Q521" s="36"/>
      <c r="R521" s="37">
        <v>3960</v>
      </c>
      <c r="S521" s="29">
        <f t="shared" si="264"/>
        <v>0.99</v>
      </c>
      <c r="T521" s="30" t="str">
        <f t="shared" si="265"/>
        <v xml:space="preserve"> </v>
      </c>
      <c r="U521" s="30" t="str">
        <f t="shared" si="266"/>
        <v xml:space="preserve"> </v>
      </c>
      <c r="V521" s="30" t="str">
        <f t="shared" si="267"/>
        <v xml:space="preserve"> </v>
      </c>
      <c r="W521" s="30">
        <f t="shared" si="267"/>
        <v>0.99</v>
      </c>
    </row>
    <row r="522" spans="1:23" s="38" customFormat="1" ht="30" customHeight="1" x14ac:dyDescent="0.2">
      <c r="A522" s="78"/>
      <c r="B522" s="79"/>
      <c r="C522" s="54" t="s">
        <v>230</v>
      </c>
      <c r="D522" s="55">
        <f>SUM(E522:H522)</f>
        <v>0</v>
      </c>
      <c r="E522" s="56">
        <f>+E523+E524</f>
        <v>0</v>
      </c>
      <c r="F522" s="56">
        <f>+F523+F524</f>
        <v>0</v>
      </c>
      <c r="G522" s="56">
        <f>+G523+G524</f>
        <v>0</v>
      </c>
      <c r="H522" s="57">
        <f>+H523+H524</f>
        <v>0</v>
      </c>
      <c r="I522" s="55">
        <f>SUM(J522:M522)</f>
        <v>1600</v>
      </c>
      <c r="J522" s="56">
        <f>+J523+J524</f>
        <v>0</v>
      </c>
      <c r="K522" s="56">
        <f>+K523+K524</f>
        <v>0</v>
      </c>
      <c r="L522" s="56">
        <f>+L523+L524</f>
        <v>0</v>
      </c>
      <c r="M522" s="57">
        <f>+M523+M524</f>
        <v>1600</v>
      </c>
      <c r="N522" s="55">
        <f>SUM(O522:R522)</f>
        <v>1584</v>
      </c>
      <c r="O522" s="56">
        <f>+O523+O524</f>
        <v>0</v>
      </c>
      <c r="P522" s="56">
        <f>+P523+P524</f>
        <v>0</v>
      </c>
      <c r="Q522" s="56">
        <f>+Q523+Q524</f>
        <v>0</v>
      </c>
      <c r="R522" s="57">
        <f>+R523+R524</f>
        <v>1584</v>
      </c>
      <c r="S522" s="26">
        <f t="shared" si="264"/>
        <v>0.99</v>
      </c>
      <c r="T522" s="27" t="str">
        <f t="shared" si="265"/>
        <v xml:space="preserve"> </v>
      </c>
      <c r="U522" s="27" t="str">
        <f t="shared" si="266"/>
        <v xml:space="preserve"> </v>
      </c>
      <c r="V522" s="27" t="str">
        <f t="shared" si="267"/>
        <v xml:space="preserve"> </v>
      </c>
      <c r="W522" s="27">
        <f t="shared" si="267"/>
        <v>0.99</v>
      </c>
    </row>
    <row r="523" spans="1:23" ht="44.25" customHeight="1" x14ac:dyDescent="0.2">
      <c r="A523" s="74"/>
      <c r="B523" s="75"/>
      <c r="C523" s="4" t="s">
        <v>584</v>
      </c>
      <c r="D523" s="35">
        <f t="shared" si="274"/>
        <v>0</v>
      </c>
      <c r="E523" s="36"/>
      <c r="F523" s="36"/>
      <c r="G523" s="36"/>
      <c r="H523" s="37">
        <v>0</v>
      </c>
      <c r="I523" s="35">
        <f t="shared" si="275"/>
        <v>800</v>
      </c>
      <c r="J523" s="36"/>
      <c r="K523" s="36"/>
      <c r="L523" s="36"/>
      <c r="M523" s="37">
        <v>800</v>
      </c>
      <c r="N523" s="35">
        <f t="shared" si="276"/>
        <v>792</v>
      </c>
      <c r="O523" s="36"/>
      <c r="P523" s="36"/>
      <c r="Q523" s="36"/>
      <c r="R523" s="37">
        <v>792</v>
      </c>
      <c r="S523" s="29">
        <f t="shared" si="264"/>
        <v>0.99</v>
      </c>
      <c r="T523" s="30" t="str">
        <f t="shared" si="265"/>
        <v xml:space="preserve"> </v>
      </c>
      <c r="U523" s="30" t="str">
        <f t="shared" si="266"/>
        <v xml:space="preserve"> </v>
      </c>
      <c r="V523" s="30" t="str">
        <f t="shared" si="267"/>
        <v xml:space="preserve"> </v>
      </c>
      <c r="W523" s="30">
        <f t="shared" si="267"/>
        <v>0.99</v>
      </c>
    </row>
    <row r="524" spans="1:23" ht="45" customHeight="1" x14ac:dyDescent="0.2">
      <c r="A524" s="74"/>
      <c r="B524" s="75"/>
      <c r="C524" s="4" t="s">
        <v>585</v>
      </c>
      <c r="D524" s="35">
        <f t="shared" si="274"/>
        <v>0</v>
      </c>
      <c r="E524" s="36"/>
      <c r="F524" s="36"/>
      <c r="G524" s="36"/>
      <c r="H524" s="37">
        <v>0</v>
      </c>
      <c r="I524" s="35">
        <f t="shared" si="275"/>
        <v>800</v>
      </c>
      <c r="J524" s="36"/>
      <c r="K524" s="36"/>
      <c r="L524" s="36"/>
      <c r="M524" s="37">
        <v>800</v>
      </c>
      <c r="N524" s="35">
        <f t="shared" si="276"/>
        <v>792</v>
      </c>
      <c r="O524" s="36"/>
      <c r="P524" s="36"/>
      <c r="Q524" s="36"/>
      <c r="R524" s="37">
        <v>792</v>
      </c>
      <c r="S524" s="29">
        <f t="shared" si="264"/>
        <v>0.99</v>
      </c>
      <c r="T524" s="30" t="str">
        <f t="shared" si="265"/>
        <v xml:space="preserve"> </v>
      </c>
      <c r="U524" s="30" t="str">
        <f t="shared" si="266"/>
        <v xml:space="preserve"> </v>
      </c>
      <c r="V524" s="30" t="str">
        <f t="shared" si="267"/>
        <v xml:space="preserve"> </v>
      </c>
      <c r="W524" s="30">
        <f t="shared" si="267"/>
        <v>0.99</v>
      </c>
    </row>
    <row r="525" spans="1:23" ht="75.75" customHeight="1" x14ac:dyDescent="0.2">
      <c r="A525" s="72">
        <v>1075</v>
      </c>
      <c r="B525" s="76">
        <v>32009</v>
      </c>
      <c r="C525" s="1" t="s">
        <v>586</v>
      </c>
      <c r="D525" s="5">
        <f>SUM(E525:H525)</f>
        <v>0</v>
      </c>
      <c r="E525" s="6">
        <f>+E527</f>
        <v>0</v>
      </c>
      <c r="F525" s="6">
        <f>+F527</f>
        <v>0</v>
      </c>
      <c r="G525" s="6">
        <f>+G527</f>
        <v>0</v>
      </c>
      <c r="H525" s="7">
        <f>+H527</f>
        <v>0</v>
      </c>
      <c r="I525" s="5">
        <f>SUM(J525:M525)</f>
        <v>11381.1</v>
      </c>
      <c r="J525" s="6">
        <f>+J527</f>
        <v>0</v>
      </c>
      <c r="K525" s="6">
        <f>+K527</f>
        <v>0</v>
      </c>
      <c r="L525" s="6">
        <f>+L527</f>
        <v>0</v>
      </c>
      <c r="M525" s="7">
        <f>+M527</f>
        <v>11381.1</v>
      </c>
      <c r="N525" s="5">
        <f t="shared" si="276"/>
        <v>429</v>
      </c>
      <c r="O525" s="6">
        <f>+O527</f>
        <v>0</v>
      </c>
      <c r="P525" s="6">
        <f>+P527</f>
        <v>0</v>
      </c>
      <c r="Q525" s="6">
        <f>+Q527</f>
        <v>0</v>
      </c>
      <c r="R525" s="7">
        <f>+R527</f>
        <v>429</v>
      </c>
      <c r="S525" s="26">
        <f t="shared" si="264"/>
        <v>3.7694071750533777E-2</v>
      </c>
      <c r="T525" s="27" t="str">
        <f t="shared" si="265"/>
        <v xml:space="preserve"> </v>
      </c>
      <c r="U525" s="27" t="str">
        <f t="shared" si="266"/>
        <v xml:space="preserve"> </v>
      </c>
      <c r="V525" s="27" t="str">
        <f t="shared" si="267"/>
        <v xml:space="preserve"> </v>
      </c>
      <c r="W525" s="27">
        <f t="shared" si="267"/>
        <v>3.7694071750533777E-2</v>
      </c>
    </row>
    <row r="526" spans="1:23" ht="26.25" customHeight="1" x14ac:dyDescent="0.2">
      <c r="A526" s="72"/>
      <c r="B526" s="76"/>
      <c r="C526" s="4" t="s">
        <v>10</v>
      </c>
      <c r="D526" s="5"/>
      <c r="E526" s="6"/>
      <c r="F526" s="6"/>
      <c r="G526" s="6"/>
      <c r="H526" s="7"/>
      <c r="I526" s="5"/>
      <c r="J526" s="6"/>
      <c r="K526" s="6"/>
      <c r="L526" s="6"/>
      <c r="M526" s="7"/>
      <c r="N526" s="5"/>
      <c r="O526" s="6"/>
      <c r="P526" s="6"/>
      <c r="Q526" s="6"/>
      <c r="R526" s="7"/>
      <c r="S526" s="29" t="str">
        <f t="shared" si="264"/>
        <v xml:space="preserve"> </v>
      </c>
      <c r="T526" s="30" t="str">
        <f t="shared" si="265"/>
        <v xml:space="preserve"> </v>
      </c>
      <c r="U526" s="30" t="str">
        <f t="shared" si="266"/>
        <v xml:space="preserve"> </v>
      </c>
      <c r="V526" s="30" t="str">
        <f t="shared" si="267"/>
        <v xml:space="preserve"> </v>
      </c>
      <c r="W526" s="30" t="str">
        <f t="shared" si="267"/>
        <v xml:space="preserve"> </v>
      </c>
    </row>
    <row r="527" spans="1:23" s="38" customFormat="1" ht="34.5" customHeight="1" x14ac:dyDescent="0.2">
      <c r="A527" s="78"/>
      <c r="B527" s="79"/>
      <c r="C527" s="54" t="s">
        <v>220</v>
      </c>
      <c r="D527" s="55">
        <f>SUM(E527:H527)</f>
        <v>0</v>
      </c>
      <c r="E527" s="56">
        <f>+E528</f>
        <v>0</v>
      </c>
      <c r="F527" s="56">
        <f>+F528</f>
        <v>0</v>
      </c>
      <c r="G527" s="56">
        <f>+G528</f>
        <v>0</v>
      </c>
      <c r="H527" s="57">
        <f>+H528</f>
        <v>0</v>
      </c>
      <c r="I527" s="55">
        <f>SUM(J527:M527)</f>
        <v>11381.1</v>
      </c>
      <c r="J527" s="56">
        <f>+J528</f>
        <v>0</v>
      </c>
      <c r="K527" s="56">
        <f>+K528</f>
        <v>0</v>
      </c>
      <c r="L527" s="56">
        <f>+L528</f>
        <v>0</v>
      </c>
      <c r="M527" s="57">
        <f>+M528</f>
        <v>11381.1</v>
      </c>
      <c r="N527" s="55">
        <f>SUM(O527:R527)</f>
        <v>429</v>
      </c>
      <c r="O527" s="56">
        <f>+O528</f>
        <v>0</v>
      </c>
      <c r="P527" s="56">
        <f>+P528</f>
        <v>0</v>
      </c>
      <c r="Q527" s="56">
        <f>+Q528</f>
        <v>0</v>
      </c>
      <c r="R527" s="57">
        <f>+R528</f>
        <v>429</v>
      </c>
      <c r="S527" s="26">
        <f t="shared" si="264"/>
        <v>3.7694071750533777E-2</v>
      </c>
      <c r="T527" s="27" t="str">
        <f t="shared" si="265"/>
        <v xml:space="preserve"> </v>
      </c>
      <c r="U527" s="27" t="str">
        <f t="shared" si="266"/>
        <v xml:space="preserve"> </v>
      </c>
      <c r="V527" s="27" t="str">
        <f t="shared" si="267"/>
        <v xml:space="preserve"> </v>
      </c>
      <c r="W527" s="27">
        <f t="shared" si="267"/>
        <v>3.7694071750533777E-2</v>
      </c>
    </row>
    <row r="528" spans="1:23" ht="42" customHeight="1" x14ac:dyDescent="0.2">
      <c r="A528" s="74"/>
      <c r="B528" s="75"/>
      <c r="C528" s="4" t="s">
        <v>587</v>
      </c>
      <c r="D528" s="35">
        <f>SUM(E528:H528)</f>
        <v>0</v>
      </c>
      <c r="E528" s="36"/>
      <c r="F528" s="36"/>
      <c r="G528" s="36"/>
      <c r="H528" s="37">
        <v>0</v>
      </c>
      <c r="I528" s="35">
        <f>SUM(J528:M528)</f>
        <v>11381.1</v>
      </c>
      <c r="J528" s="36"/>
      <c r="K528" s="36"/>
      <c r="L528" s="36"/>
      <c r="M528" s="37">
        <v>11381.1</v>
      </c>
      <c r="N528" s="35">
        <f>SUM(O528:R528)</f>
        <v>429</v>
      </c>
      <c r="O528" s="36"/>
      <c r="P528" s="36"/>
      <c r="Q528" s="36"/>
      <c r="R528" s="37">
        <v>429</v>
      </c>
      <c r="S528" s="29">
        <f t="shared" si="264"/>
        <v>3.7694071750533777E-2</v>
      </c>
      <c r="T528" s="30" t="str">
        <f t="shared" si="265"/>
        <v xml:space="preserve"> </v>
      </c>
      <c r="U528" s="30" t="str">
        <f t="shared" si="266"/>
        <v xml:space="preserve"> </v>
      </c>
      <c r="V528" s="30" t="str">
        <f t="shared" si="267"/>
        <v xml:space="preserve"> </v>
      </c>
      <c r="W528" s="30">
        <f t="shared" si="267"/>
        <v>3.7694071750533777E-2</v>
      </c>
    </row>
    <row r="529" spans="1:23" ht="80.25" customHeight="1" x14ac:dyDescent="0.2">
      <c r="A529" s="72">
        <v>1111</v>
      </c>
      <c r="B529" s="76">
        <v>32001</v>
      </c>
      <c r="C529" s="1" t="s">
        <v>588</v>
      </c>
      <c r="D529" s="5">
        <f>SUM(E529:H529)</f>
        <v>472970.10000000003</v>
      </c>
      <c r="E529" s="6">
        <f>+E531</f>
        <v>0</v>
      </c>
      <c r="F529" s="6">
        <f>+F531</f>
        <v>472970.10000000003</v>
      </c>
      <c r="G529" s="6">
        <f>+G531</f>
        <v>0</v>
      </c>
      <c r="H529" s="7">
        <f>+H531</f>
        <v>0</v>
      </c>
      <c r="I529" s="5">
        <f>SUM(J529:M529)</f>
        <v>102566.40000000004</v>
      </c>
      <c r="J529" s="6">
        <f>+J531</f>
        <v>0</v>
      </c>
      <c r="K529" s="6">
        <f>+K531</f>
        <v>102566.40000000004</v>
      </c>
      <c r="L529" s="6">
        <f>+L531</f>
        <v>0</v>
      </c>
      <c r="M529" s="7">
        <f>+M531</f>
        <v>0</v>
      </c>
      <c r="N529" s="5">
        <f>SUM(O529:R529)</f>
        <v>101958.8</v>
      </c>
      <c r="O529" s="6">
        <f>+O531</f>
        <v>0</v>
      </c>
      <c r="P529" s="6">
        <f>+P531</f>
        <v>101958.8</v>
      </c>
      <c r="Q529" s="6">
        <f>+Q531</f>
        <v>0</v>
      </c>
      <c r="R529" s="7">
        <f>+R531</f>
        <v>0</v>
      </c>
      <c r="S529" s="26">
        <f t="shared" si="264"/>
        <v>0.99407603269686728</v>
      </c>
      <c r="T529" s="27" t="str">
        <f t="shared" si="265"/>
        <v xml:space="preserve"> </v>
      </c>
      <c r="U529" s="27">
        <f t="shared" si="266"/>
        <v>0.99407603269686728</v>
      </c>
      <c r="V529" s="27" t="str">
        <f t="shared" si="267"/>
        <v xml:space="preserve"> </v>
      </c>
      <c r="W529" s="27" t="str">
        <f t="shared" si="267"/>
        <v xml:space="preserve"> </v>
      </c>
    </row>
    <row r="530" spans="1:23" ht="22.5" customHeight="1" x14ac:dyDescent="0.2">
      <c r="A530" s="72"/>
      <c r="B530" s="76"/>
      <c r="C530" s="4" t="s">
        <v>10</v>
      </c>
      <c r="D530" s="5"/>
      <c r="E530" s="6"/>
      <c r="F530" s="6"/>
      <c r="G530" s="6"/>
      <c r="H530" s="7"/>
      <c r="I530" s="5"/>
      <c r="J530" s="6"/>
      <c r="K530" s="6"/>
      <c r="L530" s="6"/>
      <c r="M530" s="7"/>
      <c r="N530" s="5"/>
      <c r="O530" s="6"/>
      <c r="P530" s="6"/>
      <c r="Q530" s="6"/>
      <c r="R530" s="7"/>
      <c r="S530" s="29" t="str">
        <f t="shared" si="264"/>
        <v xml:space="preserve"> </v>
      </c>
      <c r="T530" s="30" t="str">
        <f t="shared" si="265"/>
        <v xml:space="preserve"> </v>
      </c>
      <c r="U530" s="30" t="str">
        <f t="shared" si="266"/>
        <v xml:space="preserve"> </v>
      </c>
      <c r="V530" s="30" t="str">
        <f t="shared" si="267"/>
        <v xml:space="preserve"> </v>
      </c>
      <c r="W530" s="30" t="str">
        <f t="shared" si="267"/>
        <v xml:space="preserve"> </v>
      </c>
    </row>
    <row r="531" spans="1:23" s="38" customFormat="1" ht="29.25" customHeight="1" x14ac:dyDescent="0.2">
      <c r="A531" s="78"/>
      <c r="B531" s="79"/>
      <c r="C531" s="54" t="s">
        <v>220</v>
      </c>
      <c r="D531" s="55">
        <f>SUM(E531:H531)</f>
        <v>472970.10000000003</v>
      </c>
      <c r="E531" s="56">
        <f>SUM(E532)</f>
        <v>0</v>
      </c>
      <c r="F531" s="56">
        <f>SUM(F532)</f>
        <v>472970.10000000003</v>
      </c>
      <c r="G531" s="56">
        <f>SUM(G532)</f>
        <v>0</v>
      </c>
      <c r="H531" s="57">
        <f>SUM(H532)</f>
        <v>0</v>
      </c>
      <c r="I531" s="55">
        <f>SUM(J531:M531)</f>
        <v>102566.40000000004</v>
      </c>
      <c r="J531" s="56">
        <f>SUM(J532)</f>
        <v>0</v>
      </c>
      <c r="K531" s="56">
        <f>SUM(K532)</f>
        <v>102566.40000000004</v>
      </c>
      <c r="L531" s="56">
        <f>SUM(L532)</f>
        <v>0</v>
      </c>
      <c r="M531" s="57">
        <f>SUM(M532)</f>
        <v>0</v>
      </c>
      <c r="N531" s="55">
        <f>SUM(O531:R531)</f>
        <v>101958.8</v>
      </c>
      <c r="O531" s="56">
        <f>SUM(O532)</f>
        <v>0</v>
      </c>
      <c r="P531" s="56">
        <f>SUM(P532)</f>
        <v>101958.8</v>
      </c>
      <c r="Q531" s="56">
        <f>SUM(Q532)</f>
        <v>0</v>
      </c>
      <c r="R531" s="57">
        <f>SUM(R532)</f>
        <v>0</v>
      </c>
      <c r="S531" s="26">
        <f t="shared" si="264"/>
        <v>0.99407603269686728</v>
      </c>
      <c r="T531" s="27" t="str">
        <f t="shared" si="265"/>
        <v xml:space="preserve"> </v>
      </c>
      <c r="U531" s="27">
        <f t="shared" si="266"/>
        <v>0.99407603269686728</v>
      </c>
      <c r="V531" s="27" t="str">
        <f t="shared" si="267"/>
        <v xml:space="preserve"> </v>
      </c>
      <c r="W531" s="27" t="str">
        <f t="shared" si="267"/>
        <v xml:space="preserve"> </v>
      </c>
    </row>
    <row r="532" spans="1:23" ht="48" customHeight="1" x14ac:dyDescent="0.2">
      <c r="A532" s="74"/>
      <c r="B532" s="75"/>
      <c r="C532" s="4" t="s">
        <v>99</v>
      </c>
      <c r="D532" s="35">
        <f>SUM(E532:H532)</f>
        <v>472970.10000000003</v>
      </c>
      <c r="E532" s="36"/>
      <c r="F532" s="36">
        <v>472970.10000000003</v>
      </c>
      <c r="G532" s="36"/>
      <c r="H532" s="37"/>
      <c r="I532" s="35">
        <f>SUM(J532:M532)</f>
        <v>102566.40000000004</v>
      </c>
      <c r="J532" s="36"/>
      <c r="K532" s="36">
        <v>102566.40000000004</v>
      </c>
      <c r="L532" s="36"/>
      <c r="M532" s="37"/>
      <c r="N532" s="35">
        <f>SUM(O532:R532)</f>
        <v>101958.8</v>
      </c>
      <c r="O532" s="36"/>
      <c r="P532" s="36">
        <v>101958.8</v>
      </c>
      <c r="Q532" s="36"/>
      <c r="R532" s="37"/>
      <c r="S532" s="29">
        <f t="shared" si="264"/>
        <v>0.99407603269686728</v>
      </c>
      <c r="T532" s="30" t="str">
        <f t="shared" si="265"/>
        <v xml:space="preserve"> </v>
      </c>
      <c r="U532" s="30">
        <f t="shared" si="266"/>
        <v>0.99407603269686728</v>
      </c>
      <c r="V532" s="30" t="str">
        <f t="shared" si="267"/>
        <v xml:space="preserve"> </v>
      </c>
      <c r="W532" s="30" t="str">
        <f t="shared" si="267"/>
        <v xml:space="preserve"> </v>
      </c>
    </row>
    <row r="533" spans="1:23" ht="72.75" customHeight="1" x14ac:dyDescent="0.2">
      <c r="A533" s="72">
        <v>1124</v>
      </c>
      <c r="B533" s="76">
        <v>32001</v>
      </c>
      <c r="C533" s="1" t="s">
        <v>17</v>
      </c>
      <c r="D533" s="5">
        <f>SUM(E533:H533)</f>
        <v>7247.6</v>
      </c>
      <c r="E533" s="6">
        <f>+E535+E538+E540+E542+E544+E546+E548+E550+E552+E554+E556</f>
        <v>0</v>
      </c>
      <c r="F533" s="6">
        <f>+F535+F538+F540+F542+F544+F546+F548+F550+F552+F554+F556</f>
        <v>0</v>
      </c>
      <c r="G533" s="6">
        <f>+G535+G538+G540+G542+G544+G546+G548+G550+G552+G554+G556</f>
        <v>0</v>
      </c>
      <c r="H533" s="7">
        <f>+H535+H538+H540+H542+H544+H546+H548+H550+H552+H554+H556+7247.6</f>
        <v>7247.6</v>
      </c>
      <c r="I533" s="5">
        <f>SUM(J533:M533)</f>
        <v>51047.6</v>
      </c>
      <c r="J533" s="6">
        <f>+J535+J538+J540+J542+J544+J546+J548+J550+J552+J554+J556</f>
        <v>0</v>
      </c>
      <c r="K533" s="6">
        <f>+K535+K538+K540+K542+K544+K546+K548+K550+K552+K554+K556</f>
        <v>0</v>
      </c>
      <c r="L533" s="6">
        <f>+L535+L538+L540+L542+L544+L546+L548+L550+L552+L554+L556</f>
        <v>0</v>
      </c>
      <c r="M533" s="7">
        <f>+M535+M538+M540+M542+M544+M546+M548+M550+M552+M554+M556+7247.6</f>
        <v>51047.6</v>
      </c>
      <c r="N533" s="5">
        <f>SUM(O533:R533)</f>
        <v>16549.400000000001</v>
      </c>
      <c r="O533" s="6">
        <f>+O535+O538+O540+O542+O544+O546+O548+O550+O552+O554+O556</f>
        <v>0</v>
      </c>
      <c r="P533" s="6">
        <f>+P535+P538+P540+P542+P544+P546+P548+P550+P552+P554+P556</f>
        <v>0</v>
      </c>
      <c r="Q533" s="6">
        <f>+Q535+Q538+Q540+Q542+Q544+Q546+Q548+Q550+Q552+Q554+Q556</f>
        <v>0</v>
      </c>
      <c r="R533" s="7">
        <f>+R535+R538+R540+R542+R544+R546+R548+R550+R552+R554+R556+7247</f>
        <v>16549.400000000001</v>
      </c>
      <c r="S533" s="26">
        <f t="shared" si="264"/>
        <v>0.32419545678934958</v>
      </c>
      <c r="T533" s="27" t="str">
        <f t="shared" si="265"/>
        <v xml:space="preserve"> </v>
      </c>
      <c r="U533" s="27" t="str">
        <f t="shared" si="266"/>
        <v xml:space="preserve"> </v>
      </c>
      <c r="V533" s="27" t="str">
        <f t="shared" si="267"/>
        <v xml:space="preserve"> </v>
      </c>
      <c r="W533" s="27">
        <f t="shared" si="267"/>
        <v>0.32419545678934958</v>
      </c>
    </row>
    <row r="534" spans="1:23" ht="24" customHeight="1" x14ac:dyDescent="0.2">
      <c r="A534" s="72"/>
      <c r="B534" s="76"/>
      <c r="C534" s="4" t="s">
        <v>10</v>
      </c>
      <c r="D534" s="5"/>
      <c r="E534" s="6"/>
      <c r="F534" s="6"/>
      <c r="G534" s="6"/>
      <c r="H534" s="7"/>
      <c r="I534" s="5"/>
      <c r="J534" s="6"/>
      <c r="K534" s="6"/>
      <c r="L534" s="6"/>
      <c r="M534" s="7"/>
      <c r="N534" s="5"/>
      <c r="O534" s="6"/>
      <c r="P534" s="6"/>
      <c r="Q534" s="6"/>
      <c r="R534" s="7"/>
      <c r="S534" s="29" t="str">
        <f t="shared" si="264"/>
        <v xml:space="preserve"> </v>
      </c>
      <c r="T534" s="30" t="str">
        <f t="shared" si="265"/>
        <v xml:space="preserve"> </v>
      </c>
      <c r="U534" s="30" t="str">
        <f t="shared" si="266"/>
        <v xml:space="preserve"> </v>
      </c>
      <c r="V534" s="30" t="str">
        <f t="shared" si="267"/>
        <v xml:space="preserve"> </v>
      </c>
      <c r="W534" s="30" t="str">
        <f t="shared" si="267"/>
        <v xml:space="preserve"> </v>
      </c>
    </row>
    <row r="535" spans="1:23" s="38" customFormat="1" ht="30.75" customHeight="1" x14ac:dyDescent="0.2">
      <c r="A535" s="78"/>
      <c r="B535" s="79"/>
      <c r="C535" s="54" t="s">
        <v>220</v>
      </c>
      <c r="D535" s="55">
        <f t="shared" ref="D535:D558" si="277">SUM(E535:H535)</f>
        <v>0</v>
      </c>
      <c r="E535" s="56">
        <f>+E536+E537</f>
        <v>0</v>
      </c>
      <c r="F535" s="56">
        <f>+F536+F537</f>
        <v>0</v>
      </c>
      <c r="G535" s="56">
        <f>+G536+G537</f>
        <v>0</v>
      </c>
      <c r="H535" s="57">
        <f>+H536+H537</f>
        <v>0</v>
      </c>
      <c r="I535" s="55">
        <f t="shared" ref="I535:I558" si="278">SUM(J535:M535)</f>
        <v>39800</v>
      </c>
      <c r="J535" s="56">
        <f>+J536+J537</f>
        <v>0</v>
      </c>
      <c r="K535" s="56">
        <f>+K536+K537</f>
        <v>0</v>
      </c>
      <c r="L535" s="56">
        <f>+L536+L537</f>
        <v>0</v>
      </c>
      <c r="M535" s="57">
        <f>+M536+M537</f>
        <v>39800</v>
      </c>
      <c r="N535" s="55">
        <f t="shared" ref="N535:N558" si="279">SUM(O535:R535)</f>
        <v>5426.4</v>
      </c>
      <c r="O535" s="56">
        <f>+O536+O537</f>
        <v>0</v>
      </c>
      <c r="P535" s="56">
        <f>+P536+P537</f>
        <v>0</v>
      </c>
      <c r="Q535" s="56">
        <f>+Q536+Q537</f>
        <v>0</v>
      </c>
      <c r="R535" s="57">
        <f>+R536+R537</f>
        <v>5426.4</v>
      </c>
      <c r="S535" s="26">
        <f t="shared" ref="S535:S598" si="280">IF(I535=0," ",N535/I535)</f>
        <v>0.13634170854271355</v>
      </c>
      <c r="T535" s="27" t="str">
        <f t="shared" ref="T535:T598" si="281">IF(J535=0," ",O535/J535)</f>
        <v xml:space="preserve"> </v>
      </c>
      <c r="U535" s="27" t="str">
        <f t="shared" ref="U535:U598" si="282">IF(K535=0," ",P535/K535)</f>
        <v xml:space="preserve"> </v>
      </c>
      <c r="V535" s="27" t="str">
        <f t="shared" ref="V535:W598" si="283">IF(L535=0," ",Q535/L535)</f>
        <v xml:space="preserve"> </v>
      </c>
      <c r="W535" s="27">
        <f t="shared" si="283"/>
        <v>0.13634170854271355</v>
      </c>
    </row>
    <row r="536" spans="1:23" ht="42.75" customHeight="1" x14ac:dyDescent="0.2">
      <c r="A536" s="74"/>
      <c r="B536" s="75"/>
      <c r="C536" s="4" t="s">
        <v>589</v>
      </c>
      <c r="D536" s="35">
        <f t="shared" si="277"/>
        <v>0</v>
      </c>
      <c r="E536" s="36"/>
      <c r="F536" s="36"/>
      <c r="G536" s="36"/>
      <c r="H536" s="37">
        <v>0</v>
      </c>
      <c r="I536" s="35">
        <f t="shared" si="278"/>
        <v>39000</v>
      </c>
      <c r="J536" s="36"/>
      <c r="K536" s="36"/>
      <c r="L536" s="36"/>
      <c r="M536" s="37">
        <v>39000</v>
      </c>
      <c r="N536" s="35">
        <f t="shared" si="279"/>
        <v>4651.2</v>
      </c>
      <c r="O536" s="36"/>
      <c r="P536" s="36"/>
      <c r="Q536" s="36"/>
      <c r="R536" s="37">
        <v>4651.2</v>
      </c>
      <c r="S536" s="29">
        <f t="shared" si="280"/>
        <v>0.11926153846153846</v>
      </c>
      <c r="T536" s="30" t="str">
        <f t="shared" si="281"/>
        <v xml:space="preserve"> </v>
      </c>
      <c r="U536" s="30" t="str">
        <f t="shared" si="282"/>
        <v xml:space="preserve"> </v>
      </c>
      <c r="V536" s="30" t="str">
        <f t="shared" si="283"/>
        <v xml:space="preserve"> </v>
      </c>
      <c r="W536" s="30">
        <f t="shared" si="283"/>
        <v>0.11926153846153846</v>
      </c>
    </row>
    <row r="537" spans="1:23" ht="43.5" customHeight="1" x14ac:dyDescent="0.2">
      <c r="A537" s="74"/>
      <c r="B537" s="75"/>
      <c r="C537" s="4" t="s">
        <v>590</v>
      </c>
      <c r="D537" s="35">
        <f t="shared" si="277"/>
        <v>0</v>
      </c>
      <c r="E537" s="36"/>
      <c r="F537" s="36"/>
      <c r="G537" s="36"/>
      <c r="H537" s="37">
        <v>0</v>
      </c>
      <c r="I537" s="35">
        <f t="shared" si="278"/>
        <v>800</v>
      </c>
      <c r="J537" s="36"/>
      <c r="K537" s="36"/>
      <c r="L537" s="36"/>
      <c r="M537" s="37">
        <v>800</v>
      </c>
      <c r="N537" s="35">
        <f t="shared" si="279"/>
        <v>775.2</v>
      </c>
      <c r="O537" s="36"/>
      <c r="P537" s="36"/>
      <c r="Q537" s="36"/>
      <c r="R537" s="37">
        <v>775.2</v>
      </c>
      <c r="S537" s="29">
        <f t="shared" si="280"/>
        <v>0.96900000000000008</v>
      </c>
      <c r="T537" s="30" t="str">
        <f t="shared" si="281"/>
        <v xml:space="preserve"> </v>
      </c>
      <c r="U537" s="30" t="str">
        <f t="shared" si="282"/>
        <v xml:space="preserve"> </v>
      </c>
      <c r="V537" s="30" t="str">
        <f t="shared" si="283"/>
        <v xml:space="preserve"> </v>
      </c>
      <c r="W537" s="30">
        <f t="shared" si="283"/>
        <v>0.96900000000000008</v>
      </c>
    </row>
    <row r="538" spans="1:23" s="38" customFormat="1" ht="32.25" customHeight="1" x14ac:dyDescent="0.2">
      <c r="A538" s="78"/>
      <c r="B538" s="79"/>
      <c r="C538" s="54" t="s">
        <v>223</v>
      </c>
      <c r="D538" s="55">
        <f t="shared" si="277"/>
        <v>0</v>
      </c>
      <c r="E538" s="56">
        <f>+E539</f>
        <v>0</v>
      </c>
      <c r="F538" s="56">
        <f>+F539</f>
        <v>0</v>
      </c>
      <c r="G538" s="56">
        <f>+G539</f>
        <v>0</v>
      </c>
      <c r="H538" s="57">
        <f>+H539</f>
        <v>0</v>
      </c>
      <c r="I538" s="55">
        <f t="shared" si="278"/>
        <v>400</v>
      </c>
      <c r="J538" s="56">
        <f>+J539</f>
        <v>0</v>
      </c>
      <c r="K538" s="56">
        <f>+K539</f>
        <v>0</v>
      </c>
      <c r="L538" s="56">
        <f>+L539</f>
        <v>0</v>
      </c>
      <c r="M538" s="57">
        <f>+M539</f>
        <v>400</v>
      </c>
      <c r="N538" s="55">
        <f t="shared" si="279"/>
        <v>387.6</v>
      </c>
      <c r="O538" s="56">
        <f>+O539</f>
        <v>0</v>
      </c>
      <c r="P538" s="56">
        <f>+P539</f>
        <v>0</v>
      </c>
      <c r="Q538" s="56">
        <f>+Q539</f>
        <v>0</v>
      </c>
      <c r="R538" s="57">
        <f>+R539</f>
        <v>387.6</v>
      </c>
      <c r="S538" s="26">
        <f t="shared" si="280"/>
        <v>0.96900000000000008</v>
      </c>
      <c r="T538" s="27" t="str">
        <f t="shared" si="281"/>
        <v xml:space="preserve"> </v>
      </c>
      <c r="U538" s="27" t="str">
        <f t="shared" si="282"/>
        <v xml:space="preserve"> </v>
      </c>
      <c r="V538" s="27" t="str">
        <f t="shared" si="283"/>
        <v xml:space="preserve"> </v>
      </c>
      <c r="W538" s="27">
        <f t="shared" si="283"/>
        <v>0.96900000000000008</v>
      </c>
    </row>
    <row r="539" spans="1:23" ht="43.5" customHeight="1" x14ac:dyDescent="0.2">
      <c r="A539" s="74"/>
      <c r="B539" s="75"/>
      <c r="C539" s="4" t="s">
        <v>591</v>
      </c>
      <c r="D539" s="35">
        <f t="shared" si="277"/>
        <v>0</v>
      </c>
      <c r="E539" s="36"/>
      <c r="F539" s="36"/>
      <c r="G539" s="36"/>
      <c r="H539" s="37">
        <v>0</v>
      </c>
      <c r="I539" s="35">
        <f t="shared" si="278"/>
        <v>400</v>
      </c>
      <c r="J539" s="36"/>
      <c r="K539" s="36"/>
      <c r="L539" s="36"/>
      <c r="M539" s="37">
        <v>400</v>
      </c>
      <c r="N539" s="35">
        <f t="shared" si="279"/>
        <v>387.6</v>
      </c>
      <c r="O539" s="36"/>
      <c r="P539" s="36"/>
      <c r="Q539" s="36"/>
      <c r="R539" s="37">
        <v>387.6</v>
      </c>
      <c r="S539" s="29">
        <f t="shared" si="280"/>
        <v>0.96900000000000008</v>
      </c>
      <c r="T539" s="30" t="str">
        <f t="shared" si="281"/>
        <v xml:space="preserve"> </v>
      </c>
      <c r="U539" s="30" t="str">
        <f t="shared" si="282"/>
        <v xml:space="preserve"> </v>
      </c>
      <c r="V539" s="30" t="str">
        <f t="shared" si="283"/>
        <v xml:space="preserve"> </v>
      </c>
      <c r="W539" s="30">
        <f t="shared" si="283"/>
        <v>0.96900000000000008</v>
      </c>
    </row>
    <row r="540" spans="1:23" s="38" customFormat="1" ht="31.5" customHeight="1" x14ac:dyDescent="0.2">
      <c r="A540" s="72"/>
      <c r="B540" s="76"/>
      <c r="C540" s="54" t="s">
        <v>227</v>
      </c>
      <c r="D540" s="55">
        <f t="shared" si="277"/>
        <v>0</v>
      </c>
      <c r="E540" s="56">
        <f>+E541</f>
        <v>0</v>
      </c>
      <c r="F540" s="56">
        <f>+F541</f>
        <v>0</v>
      </c>
      <c r="G540" s="56">
        <f>+G541</f>
        <v>0</v>
      </c>
      <c r="H540" s="57">
        <f>+H541</f>
        <v>0</v>
      </c>
      <c r="I540" s="55">
        <f t="shared" si="278"/>
        <v>400</v>
      </c>
      <c r="J540" s="56">
        <f>+J541</f>
        <v>0</v>
      </c>
      <c r="K540" s="56">
        <f>+K541</f>
        <v>0</v>
      </c>
      <c r="L540" s="56">
        <f>+L541</f>
        <v>0</v>
      </c>
      <c r="M540" s="57">
        <f>+M541</f>
        <v>400</v>
      </c>
      <c r="N540" s="55">
        <f t="shared" si="279"/>
        <v>387.6</v>
      </c>
      <c r="O540" s="56">
        <f>+O541</f>
        <v>0</v>
      </c>
      <c r="P540" s="56">
        <f>+P541</f>
        <v>0</v>
      </c>
      <c r="Q540" s="56">
        <f>+Q541</f>
        <v>0</v>
      </c>
      <c r="R540" s="57">
        <f>+R541</f>
        <v>387.6</v>
      </c>
      <c r="S540" s="26">
        <f t="shared" si="280"/>
        <v>0.96900000000000008</v>
      </c>
      <c r="T540" s="27" t="str">
        <f t="shared" si="281"/>
        <v xml:space="preserve"> </v>
      </c>
      <c r="U540" s="27" t="str">
        <f t="shared" si="282"/>
        <v xml:space="preserve"> </v>
      </c>
      <c r="V540" s="27" t="str">
        <f t="shared" si="283"/>
        <v xml:space="preserve"> </v>
      </c>
      <c r="W540" s="27">
        <f t="shared" si="283"/>
        <v>0.96900000000000008</v>
      </c>
    </row>
    <row r="541" spans="1:23" ht="48" customHeight="1" x14ac:dyDescent="0.2">
      <c r="A541" s="74"/>
      <c r="B541" s="75"/>
      <c r="C541" s="4" t="s">
        <v>592</v>
      </c>
      <c r="D541" s="35">
        <f t="shared" si="277"/>
        <v>0</v>
      </c>
      <c r="E541" s="36"/>
      <c r="F541" s="36"/>
      <c r="G541" s="36"/>
      <c r="H541" s="37">
        <v>0</v>
      </c>
      <c r="I541" s="35">
        <f t="shared" si="278"/>
        <v>400</v>
      </c>
      <c r="J541" s="36"/>
      <c r="K541" s="36"/>
      <c r="L541" s="36"/>
      <c r="M541" s="37">
        <v>400</v>
      </c>
      <c r="N541" s="35">
        <f t="shared" si="279"/>
        <v>387.6</v>
      </c>
      <c r="O541" s="36"/>
      <c r="P541" s="36"/>
      <c r="Q541" s="36"/>
      <c r="R541" s="37">
        <v>387.6</v>
      </c>
      <c r="S541" s="29">
        <f t="shared" si="280"/>
        <v>0.96900000000000008</v>
      </c>
      <c r="T541" s="30" t="str">
        <f t="shared" si="281"/>
        <v xml:space="preserve"> </v>
      </c>
      <c r="U541" s="30" t="str">
        <f t="shared" si="282"/>
        <v xml:space="preserve"> </v>
      </c>
      <c r="V541" s="30" t="str">
        <f t="shared" si="283"/>
        <v xml:space="preserve"> </v>
      </c>
      <c r="W541" s="30">
        <f t="shared" si="283"/>
        <v>0.96900000000000008</v>
      </c>
    </row>
    <row r="542" spans="1:23" s="38" customFormat="1" ht="28.5" customHeight="1" x14ac:dyDescent="0.2">
      <c r="A542" s="72"/>
      <c r="B542" s="76"/>
      <c r="C542" s="54" t="s">
        <v>130</v>
      </c>
      <c r="D542" s="55">
        <f t="shared" si="277"/>
        <v>0</v>
      </c>
      <c r="E542" s="56">
        <f>+E543</f>
        <v>0</v>
      </c>
      <c r="F542" s="56">
        <f>+F543</f>
        <v>0</v>
      </c>
      <c r="G542" s="56">
        <f>+G543</f>
        <v>0</v>
      </c>
      <c r="H542" s="57">
        <f>+H543</f>
        <v>0</v>
      </c>
      <c r="I542" s="55">
        <f t="shared" si="278"/>
        <v>400</v>
      </c>
      <c r="J542" s="56">
        <f>+J543</f>
        <v>0</v>
      </c>
      <c r="K542" s="56">
        <f>+K543</f>
        <v>0</v>
      </c>
      <c r="L542" s="56">
        <f>+L543</f>
        <v>0</v>
      </c>
      <c r="M542" s="57">
        <f>+M543</f>
        <v>400</v>
      </c>
      <c r="N542" s="55">
        <f t="shared" si="279"/>
        <v>387.6</v>
      </c>
      <c r="O542" s="56">
        <f>+O543</f>
        <v>0</v>
      </c>
      <c r="P542" s="56">
        <f>+P543</f>
        <v>0</v>
      </c>
      <c r="Q542" s="56">
        <f>+Q543</f>
        <v>0</v>
      </c>
      <c r="R542" s="57">
        <f>+R543</f>
        <v>387.6</v>
      </c>
      <c r="S542" s="26">
        <f t="shared" si="280"/>
        <v>0.96900000000000008</v>
      </c>
      <c r="T542" s="27" t="str">
        <f t="shared" si="281"/>
        <v xml:space="preserve"> </v>
      </c>
      <c r="U542" s="27" t="str">
        <f t="shared" si="282"/>
        <v xml:space="preserve"> </v>
      </c>
      <c r="V542" s="27" t="str">
        <f t="shared" si="283"/>
        <v xml:space="preserve"> </v>
      </c>
      <c r="W542" s="27">
        <f t="shared" si="283"/>
        <v>0.96900000000000008</v>
      </c>
    </row>
    <row r="543" spans="1:23" ht="40.5" customHeight="1" x14ac:dyDescent="0.2">
      <c r="A543" s="74"/>
      <c r="B543" s="75"/>
      <c r="C543" s="4" t="s">
        <v>593</v>
      </c>
      <c r="D543" s="35">
        <f t="shared" si="277"/>
        <v>0</v>
      </c>
      <c r="E543" s="36"/>
      <c r="F543" s="36"/>
      <c r="G543" s="36"/>
      <c r="H543" s="37">
        <v>0</v>
      </c>
      <c r="I543" s="35">
        <f t="shared" si="278"/>
        <v>400</v>
      </c>
      <c r="J543" s="36"/>
      <c r="K543" s="36"/>
      <c r="L543" s="36"/>
      <c r="M543" s="37">
        <v>400</v>
      </c>
      <c r="N543" s="35">
        <f t="shared" si="279"/>
        <v>387.6</v>
      </c>
      <c r="O543" s="36"/>
      <c r="P543" s="36"/>
      <c r="Q543" s="36"/>
      <c r="R543" s="37">
        <v>387.6</v>
      </c>
      <c r="S543" s="29">
        <f t="shared" si="280"/>
        <v>0.96900000000000008</v>
      </c>
      <c r="T543" s="30" t="str">
        <f t="shared" si="281"/>
        <v xml:space="preserve"> </v>
      </c>
      <c r="U543" s="30" t="str">
        <f t="shared" si="282"/>
        <v xml:space="preserve"> </v>
      </c>
      <c r="V543" s="30" t="str">
        <f t="shared" si="283"/>
        <v xml:space="preserve"> </v>
      </c>
      <c r="W543" s="30">
        <f t="shared" si="283"/>
        <v>0.96900000000000008</v>
      </c>
    </row>
    <row r="544" spans="1:23" s="38" customFormat="1" ht="29.25" customHeight="1" x14ac:dyDescent="0.2">
      <c r="A544" s="72"/>
      <c r="B544" s="76"/>
      <c r="C544" s="54" t="s">
        <v>594</v>
      </c>
      <c r="D544" s="55">
        <f t="shared" si="277"/>
        <v>0</v>
      </c>
      <c r="E544" s="56">
        <f>+E545</f>
        <v>0</v>
      </c>
      <c r="F544" s="56">
        <f>+F545</f>
        <v>0</v>
      </c>
      <c r="G544" s="56">
        <f>+G545</f>
        <v>0</v>
      </c>
      <c r="H544" s="57">
        <f>+H545</f>
        <v>0</v>
      </c>
      <c r="I544" s="55">
        <f t="shared" si="278"/>
        <v>400</v>
      </c>
      <c r="J544" s="56">
        <f>+J545</f>
        <v>0</v>
      </c>
      <c r="K544" s="56">
        <f>+K545</f>
        <v>0</v>
      </c>
      <c r="L544" s="56">
        <f>+L545</f>
        <v>0</v>
      </c>
      <c r="M544" s="57">
        <f>+M545</f>
        <v>400</v>
      </c>
      <c r="N544" s="55">
        <f t="shared" si="279"/>
        <v>387.6</v>
      </c>
      <c r="O544" s="56">
        <f>+O545</f>
        <v>0</v>
      </c>
      <c r="P544" s="56">
        <f>+P545</f>
        <v>0</v>
      </c>
      <c r="Q544" s="56">
        <f>+Q545</f>
        <v>0</v>
      </c>
      <c r="R544" s="57">
        <f>+R545</f>
        <v>387.6</v>
      </c>
      <c r="S544" s="26">
        <f t="shared" si="280"/>
        <v>0.96900000000000008</v>
      </c>
      <c r="T544" s="27" t="str">
        <f t="shared" si="281"/>
        <v xml:space="preserve"> </v>
      </c>
      <c r="U544" s="27" t="str">
        <f t="shared" si="282"/>
        <v xml:space="preserve"> </v>
      </c>
      <c r="V544" s="27" t="str">
        <f t="shared" si="283"/>
        <v xml:space="preserve"> </v>
      </c>
      <c r="W544" s="27">
        <f t="shared" si="283"/>
        <v>0.96900000000000008</v>
      </c>
    </row>
    <row r="545" spans="1:23" ht="65.25" customHeight="1" x14ac:dyDescent="0.2">
      <c r="A545" s="74"/>
      <c r="B545" s="75"/>
      <c r="C545" s="4" t="s">
        <v>595</v>
      </c>
      <c r="D545" s="35">
        <f t="shared" si="277"/>
        <v>0</v>
      </c>
      <c r="E545" s="36"/>
      <c r="F545" s="36"/>
      <c r="G545" s="36"/>
      <c r="H545" s="37">
        <v>0</v>
      </c>
      <c r="I545" s="35">
        <f t="shared" si="278"/>
        <v>400</v>
      </c>
      <c r="J545" s="36"/>
      <c r="K545" s="36"/>
      <c r="L545" s="36"/>
      <c r="M545" s="37">
        <v>400</v>
      </c>
      <c r="N545" s="35">
        <f t="shared" si="279"/>
        <v>387.6</v>
      </c>
      <c r="O545" s="36"/>
      <c r="P545" s="36"/>
      <c r="Q545" s="36"/>
      <c r="R545" s="37">
        <v>387.6</v>
      </c>
      <c r="S545" s="29">
        <f t="shared" si="280"/>
        <v>0.96900000000000008</v>
      </c>
      <c r="T545" s="30" t="str">
        <f t="shared" si="281"/>
        <v xml:space="preserve"> </v>
      </c>
      <c r="U545" s="30" t="str">
        <f t="shared" si="282"/>
        <v xml:space="preserve"> </v>
      </c>
      <c r="V545" s="30" t="str">
        <f t="shared" si="283"/>
        <v xml:space="preserve"> </v>
      </c>
      <c r="W545" s="30">
        <f t="shared" si="283"/>
        <v>0.96900000000000008</v>
      </c>
    </row>
    <row r="546" spans="1:23" s="38" customFormat="1" ht="29.25" customHeight="1" x14ac:dyDescent="0.2">
      <c r="A546" s="72"/>
      <c r="B546" s="76"/>
      <c r="C546" s="54" t="s">
        <v>131</v>
      </c>
      <c r="D546" s="55">
        <f t="shared" si="277"/>
        <v>0</v>
      </c>
      <c r="E546" s="56">
        <f>+E547</f>
        <v>0</v>
      </c>
      <c r="F546" s="56">
        <f>+F547</f>
        <v>0</v>
      </c>
      <c r="G546" s="56">
        <f>+G547</f>
        <v>0</v>
      </c>
      <c r="H546" s="57">
        <f>+H547</f>
        <v>0</v>
      </c>
      <c r="I546" s="55">
        <f t="shared" si="278"/>
        <v>400</v>
      </c>
      <c r="J546" s="56">
        <f>+J547</f>
        <v>0</v>
      </c>
      <c r="K546" s="56">
        <f>+K547</f>
        <v>0</v>
      </c>
      <c r="L546" s="56">
        <f>+L547</f>
        <v>0</v>
      </c>
      <c r="M546" s="57">
        <f>+M547</f>
        <v>400</v>
      </c>
      <c r="N546" s="55">
        <f t="shared" si="279"/>
        <v>387.6</v>
      </c>
      <c r="O546" s="56">
        <f>+O547</f>
        <v>0</v>
      </c>
      <c r="P546" s="56">
        <f>+P547</f>
        <v>0</v>
      </c>
      <c r="Q546" s="56">
        <f>+Q547</f>
        <v>0</v>
      </c>
      <c r="R546" s="57">
        <f>+R547</f>
        <v>387.6</v>
      </c>
      <c r="S546" s="26">
        <f t="shared" si="280"/>
        <v>0.96900000000000008</v>
      </c>
      <c r="T546" s="27" t="str">
        <f t="shared" si="281"/>
        <v xml:space="preserve"> </v>
      </c>
      <c r="U546" s="27" t="str">
        <f t="shared" si="282"/>
        <v xml:space="preserve"> </v>
      </c>
      <c r="V546" s="27" t="str">
        <f t="shared" si="283"/>
        <v xml:space="preserve"> </v>
      </c>
      <c r="W546" s="27">
        <f t="shared" si="283"/>
        <v>0.96900000000000008</v>
      </c>
    </row>
    <row r="547" spans="1:23" ht="30.75" customHeight="1" x14ac:dyDescent="0.2">
      <c r="A547" s="74"/>
      <c r="B547" s="75"/>
      <c r="C547" s="4" t="s">
        <v>596</v>
      </c>
      <c r="D547" s="35">
        <f t="shared" si="277"/>
        <v>0</v>
      </c>
      <c r="E547" s="36"/>
      <c r="F547" s="36"/>
      <c r="G547" s="36"/>
      <c r="H547" s="37">
        <v>0</v>
      </c>
      <c r="I547" s="35">
        <f t="shared" si="278"/>
        <v>400</v>
      </c>
      <c r="J547" s="36"/>
      <c r="K547" s="36"/>
      <c r="L547" s="36"/>
      <c r="M547" s="37">
        <v>400</v>
      </c>
      <c r="N547" s="35">
        <f t="shared" si="279"/>
        <v>387.6</v>
      </c>
      <c r="O547" s="36"/>
      <c r="P547" s="36"/>
      <c r="Q547" s="36"/>
      <c r="R547" s="37">
        <v>387.6</v>
      </c>
      <c r="S547" s="29">
        <f t="shared" si="280"/>
        <v>0.96900000000000008</v>
      </c>
      <c r="T547" s="30" t="str">
        <f t="shared" si="281"/>
        <v xml:space="preserve"> </v>
      </c>
      <c r="U547" s="30" t="str">
        <f t="shared" si="282"/>
        <v xml:space="preserve"> </v>
      </c>
      <c r="V547" s="30" t="str">
        <f t="shared" si="283"/>
        <v xml:space="preserve"> </v>
      </c>
      <c r="W547" s="30">
        <f t="shared" si="283"/>
        <v>0.96900000000000008</v>
      </c>
    </row>
    <row r="548" spans="1:23" s="38" customFormat="1" ht="21.75" customHeight="1" x14ac:dyDescent="0.2">
      <c r="A548" s="72"/>
      <c r="B548" s="76"/>
      <c r="C548" s="54" t="s">
        <v>230</v>
      </c>
      <c r="D548" s="55">
        <f t="shared" si="277"/>
        <v>0</v>
      </c>
      <c r="E548" s="56">
        <f>+E549</f>
        <v>0</v>
      </c>
      <c r="F548" s="56">
        <f>+F549</f>
        <v>0</v>
      </c>
      <c r="G548" s="56">
        <f>+G549</f>
        <v>0</v>
      </c>
      <c r="H548" s="57">
        <f>+H549</f>
        <v>0</v>
      </c>
      <c r="I548" s="55">
        <f t="shared" si="278"/>
        <v>400</v>
      </c>
      <c r="J548" s="56">
        <f>+J549</f>
        <v>0</v>
      </c>
      <c r="K548" s="56">
        <f>+K549</f>
        <v>0</v>
      </c>
      <c r="L548" s="56">
        <f>+L549</f>
        <v>0</v>
      </c>
      <c r="M548" s="57">
        <f>+M549</f>
        <v>400</v>
      </c>
      <c r="N548" s="55">
        <f t="shared" si="279"/>
        <v>387.6</v>
      </c>
      <c r="O548" s="56">
        <f>+O549</f>
        <v>0</v>
      </c>
      <c r="P548" s="56">
        <f>+P549</f>
        <v>0</v>
      </c>
      <c r="Q548" s="56">
        <f>+Q549</f>
        <v>0</v>
      </c>
      <c r="R548" s="57">
        <f>+R549</f>
        <v>387.6</v>
      </c>
      <c r="S548" s="26">
        <f t="shared" si="280"/>
        <v>0.96900000000000008</v>
      </c>
      <c r="T548" s="27" t="str">
        <f t="shared" si="281"/>
        <v xml:space="preserve"> </v>
      </c>
      <c r="U548" s="27" t="str">
        <f t="shared" si="282"/>
        <v xml:space="preserve"> </v>
      </c>
      <c r="V548" s="27" t="str">
        <f t="shared" si="283"/>
        <v xml:space="preserve"> </v>
      </c>
      <c r="W548" s="27">
        <f t="shared" si="283"/>
        <v>0.96900000000000008</v>
      </c>
    </row>
    <row r="549" spans="1:23" ht="33" x14ac:dyDescent="0.2">
      <c r="A549" s="74"/>
      <c r="B549" s="75"/>
      <c r="C549" s="4" t="s">
        <v>597</v>
      </c>
      <c r="D549" s="35">
        <f t="shared" si="277"/>
        <v>0</v>
      </c>
      <c r="E549" s="36"/>
      <c r="F549" s="36"/>
      <c r="G549" s="36"/>
      <c r="H549" s="37">
        <v>0</v>
      </c>
      <c r="I549" s="35">
        <f t="shared" si="278"/>
        <v>400</v>
      </c>
      <c r="J549" s="36"/>
      <c r="K549" s="36"/>
      <c r="L549" s="36"/>
      <c r="M549" s="37">
        <v>400</v>
      </c>
      <c r="N549" s="35">
        <f t="shared" si="279"/>
        <v>387.6</v>
      </c>
      <c r="O549" s="36"/>
      <c r="P549" s="36"/>
      <c r="Q549" s="36"/>
      <c r="R549" s="37">
        <v>387.6</v>
      </c>
      <c r="S549" s="29">
        <f t="shared" si="280"/>
        <v>0.96900000000000008</v>
      </c>
      <c r="T549" s="30" t="str">
        <f t="shared" si="281"/>
        <v xml:space="preserve"> </v>
      </c>
      <c r="U549" s="30" t="str">
        <f t="shared" si="282"/>
        <v xml:space="preserve"> </v>
      </c>
      <c r="V549" s="30" t="str">
        <f t="shared" si="283"/>
        <v xml:space="preserve"> </v>
      </c>
      <c r="W549" s="30">
        <f t="shared" si="283"/>
        <v>0.96900000000000008</v>
      </c>
    </row>
    <row r="550" spans="1:23" s="38" customFormat="1" ht="24" customHeight="1" x14ac:dyDescent="0.2">
      <c r="A550" s="72"/>
      <c r="B550" s="76"/>
      <c r="C550" s="54" t="s">
        <v>232</v>
      </c>
      <c r="D550" s="55">
        <f t="shared" si="277"/>
        <v>0</v>
      </c>
      <c r="E550" s="56">
        <f>+E551</f>
        <v>0</v>
      </c>
      <c r="F550" s="56">
        <f>+F551</f>
        <v>0</v>
      </c>
      <c r="G550" s="56">
        <f>+G551</f>
        <v>0</v>
      </c>
      <c r="H550" s="57">
        <f>+H551</f>
        <v>0</v>
      </c>
      <c r="I550" s="55">
        <f t="shared" si="278"/>
        <v>400</v>
      </c>
      <c r="J550" s="56">
        <f>+J551</f>
        <v>0</v>
      </c>
      <c r="K550" s="56">
        <f>+K551</f>
        <v>0</v>
      </c>
      <c r="L550" s="56">
        <f>+L551</f>
        <v>0</v>
      </c>
      <c r="M550" s="57">
        <f>+M551</f>
        <v>400</v>
      </c>
      <c r="N550" s="55">
        <f t="shared" si="279"/>
        <v>387.6</v>
      </c>
      <c r="O550" s="56">
        <f>+O551</f>
        <v>0</v>
      </c>
      <c r="P550" s="56">
        <f>+P551</f>
        <v>0</v>
      </c>
      <c r="Q550" s="56">
        <f>+Q551</f>
        <v>0</v>
      </c>
      <c r="R550" s="57">
        <f>+R551</f>
        <v>387.6</v>
      </c>
      <c r="S550" s="26">
        <f t="shared" si="280"/>
        <v>0.96900000000000008</v>
      </c>
      <c r="T550" s="27" t="str">
        <f t="shared" si="281"/>
        <v xml:space="preserve"> </v>
      </c>
      <c r="U550" s="27" t="str">
        <f t="shared" si="282"/>
        <v xml:space="preserve"> </v>
      </c>
      <c r="V550" s="27" t="str">
        <f t="shared" si="283"/>
        <v xml:space="preserve"> </v>
      </c>
      <c r="W550" s="27">
        <f t="shared" si="283"/>
        <v>0.96900000000000008</v>
      </c>
    </row>
    <row r="551" spans="1:23" ht="26.25" customHeight="1" x14ac:dyDescent="0.2">
      <c r="A551" s="74"/>
      <c r="B551" s="75"/>
      <c r="C551" s="4" t="s">
        <v>598</v>
      </c>
      <c r="D551" s="35">
        <f t="shared" si="277"/>
        <v>0</v>
      </c>
      <c r="E551" s="36"/>
      <c r="F551" s="36"/>
      <c r="G551" s="36"/>
      <c r="H551" s="37">
        <v>0</v>
      </c>
      <c r="I551" s="35">
        <f t="shared" si="278"/>
        <v>400</v>
      </c>
      <c r="J551" s="36"/>
      <c r="K551" s="36"/>
      <c r="L551" s="36"/>
      <c r="M551" s="37">
        <v>400</v>
      </c>
      <c r="N551" s="35">
        <f t="shared" si="279"/>
        <v>387.6</v>
      </c>
      <c r="O551" s="36"/>
      <c r="P551" s="36"/>
      <c r="Q551" s="36"/>
      <c r="R551" s="37">
        <v>387.6</v>
      </c>
      <c r="S551" s="29">
        <f t="shared" si="280"/>
        <v>0.96900000000000008</v>
      </c>
      <c r="T551" s="30" t="str">
        <f t="shared" si="281"/>
        <v xml:space="preserve"> </v>
      </c>
      <c r="U551" s="30" t="str">
        <f t="shared" si="282"/>
        <v xml:space="preserve"> </v>
      </c>
      <c r="V551" s="30" t="str">
        <f t="shared" si="283"/>
        <v xml:space="preserve"> </v>
      </c>
      <c r="W551" s="30">
        <f t="shared" si="283"/>
        <v>0.96900000000000008</v>
      </c>
    </row>
    <row r="552" spans="1:23" s="38" customFormat="1" ht="29.25" customHeight="1" x14ac:dyDescent="0.2">
      <c r="A552" s="72"/>
      <c r="B552" s="76"/>
      <c r="C552" s="54" t="s">
        <v>133</v>
      </c>
      <c r="D552" s="55">
        <f t="shared" si="277"/>
        <v>0</v>
      </c>
      <c r="E552" s="56">
        <f>+E553</f>
        <v>0</v>
      </c>
      <c r="F552" s="56">
        <f>+F553</f>
        <v>0</v>
      </c>
      <c r="G552" s="56">
        <f>+G553</f>
        <v>0</v>
      </c>
      <c r="H552" s="57">
        <f>+H553</f>
        <v>0</v>
      </c>
      <c r="I552" s="55">
        <f t="shared" si="278"/>
        <v>400</v>
      </c>
      <c r="J552" s="56">
        <f>+J553</f>
        <v>0</v>
      </c>
      <c r="K552" s="56">
        <f>+K553</f>
        <v>0</v>
      </c>
      <c r="L552" s="56">
        <f>+L553</f>
        <v>0</v>
      </c>
      <c r="M552" s="57">
        <f>+M553</f>
        <v>400</v>
      </c>
      <c r="N552" s="55">
        <f t="shared" si="279"/>
        <v>387.6</v>
      </c>
      <c r="O552" s="56">
        <f>+O553</f>
        <v>0</v>
      </c>
      <c r="P552" s="56">
        <f>+P553</f>
        <v>0</v>
      </c>
      <c r="Q552" s="56">
        <f>+Q553</f>
        <v>0</v>
      </c>
      <c r="R552" s="57">
        <f>+R553</f>
        <v>387.6</v>
      </c>
      <c r="S552" s="26">
        <f t="shared" si="280"/>
        <v>0.96900000000000008</v>
      </c>
      <c r="T552" s="27" t="str">
        <f t="shared" si="281"/>
        <v xml:space="preserve"> </v>
      </c>
      <c r="U552" s="27" t="str">
        <f t="shared" si="282"/>
        <v xml:space="preserve"> </v>
      </c>
      <c r="V552" s="27" t="str">
        <f t="shared" si="283"/>
        <v xml:space="preserve"> </v>
      </c>
      <c r="W552" s="27">
        <f t="shared" si="283"/>
        <v>0.96900000000000008</v>
      </c>
    </row>
    <row r="553" spans="1:23" ht="16.5" x14ac:dyDescent="0.2">
      <c r="A553" s="74"/>
      <c r="B553" s="75"/>
      <c r="C553" s="4" t="s">
        <v>599</v>
      </c>
      <c r="D553" s="35">
        <f t="shared" si="277"/>
        <v>0</v>
      </c>
      <c r="E553" s="36"/>
      <c r="F553" s="36"/>
      <c r="G553" s="36"/>
      <c r="H553" s="37">
        <v>0</v>
      </c>
      <c r="I553" s="35">
        <f t="shared" si="278"/>
        <v>400</v>
      </c>
      <c r="J553" s="36"/>
      <c r="K553" s="36"/>
      <c r="L553" s="36"/>
      <c r="M553" s="37">
        <v>400</v>
      </c>
      <c r="N553" s="35">
        <f t="shared" si="279"/>
        <v>387.6</v>
      </c>
      <c r="O553" s="36"/>
      <c r="P553" s="36"/>
      <c r="Q553" s="36"/>
      <c r="R553" s="37">
        <v>387.6</v>
      </c>
      <c r="S553" s="29">
        <f t="shared" si="280"/>
        <v>0.96900000000000008</v>
      </c>
      <c r="T553" s="30" t="str">
        <f t="shared" si="281"/>
        <v xml:space="preserve"> </v>
      </c>
      <c r="U553" s="30" t="str">
        <f t="shared" si="282"/>
        <v xml:space="preserve"> </v>
      </c>
      <c r="V553" s="30" t="str">
        <f t="shared" si="283"/>
        <v xml:space="preserve"> </v>
      </c>
      <c r="W553" s="30">
        <f t="shared" si="283"/>
        <v>0.96900000000000008</v>
      </c>
    </row>
    <row r="554" spans="1:23" s="38" customFormat="1" ht="30.75" customHeight="1" x14ac:dyDescent="0.2">
      <c r="A554" s="72"/>
      <c r="B554" s="76"/>
      <c r="C554" s="54" t="s">
        <v>561</v>
      </c>
      <c r="D554" s="55">
        <f t="shared" si="277"/>
        <v>0</v>
      </c>
      <c r="E554" s="56">
        <f>+E555</f>
        <v>0</v>
      </c>
      <c r="F554" s="56">
        <f>+F555</f>
        <v>0</v>
      </c>
      <c r="G554" s="56">
        <f>+G555</f>
        <v>0</v>
      </c>
      <c r="H554" s="57">
        <f>+H555</f>
        <v>0</v>
      </c>
      <c r="I554" s="55">
        <f t="shared" si="278"/>
        <v>400</v>
      </c>
      <c r="J554" s="56">
        <f>+J555</f>
        <v>0</v>
      </c>
      <c r="K554" s="56">
        <f>+K555</f>
        <v>0</v>
      </c>
      <c r="L554" s="56">
        <f>+L555</f>
        <v>0</v>
      </c>
      <c r="M554" s="57">
        <f>+M555</f>
        <v>400</v>
      </c>
      <c r="N554" s="55">
        <f t="shared" si="279"/>
        <v>387.6</v>
      </c>
      <c r="O554" s="56">
        <f>+O555</f>
        <v>0</v>
      </c>
      <c r="P554" s="56">
        <f>+P555</f>
        <v>0</v>
      </c>
      <c r="Q554" s="56">
        <f>+Q555</f>
        <v>0</v>
      </c>
      <c r="R554" s="57">
        <f>+R555</f>
        <v>387.6</v>
      </c>
      <c r="S554" s="26">
        <f t="shared" si="280"/>
        <v>0.96900000000000008</v>
      </c>
      <c r="T554" s="27" t="str">
        <f t="shared" si="281"/>
        <v xml:space="preserve"> </v>
      </c>
      <c r="U554" s="27" t="str">
        <f t="shared" si="282"/>
        <v xml:space="preserve"> </v>
      </c>
      <c r="V554" s="27" t="str">
        <f t="shared" si="283"/>
        <v xml:space="preserve"> </v>
      </c>
      <c r="W554" s="27">
        <f t="shared" si="283"/>
        <v>0.96900000000000008</v>
      </c>
    </row>
    <row r="555" spans="1:23" ht="33" x14ac:dyDescent="0.2">
      <c r="A555" s="74"/>
      <c r="B555" s="75"/>
      <c r="C555" s="4" t="s">
        <v>600</v>
      </c>
      <c r="D555" s="35">
        <f t="shared" si="277"/>
        <v>0</v>
      </c>
      <c r="E555" s="36"/>
      <c r="F555" s="36"/>
      <c r="G555" s="36"/>
      <c r="H555" s="37">
        <v>0</v>
      </c>
      <c r="I555" s="35">
        <f t="shared" si="278"/>
        <v>400</v>
      </c>
      <c r="J555" s="36"/>
      <c r="K555" s="36"/>
      <c r="L555" s="36"/>
      <c r="M555" s="37">
        <v>400</v>
      </c>
      <c r="N555" s="35">
        <f t="shared" si="279"/>
        <v>387.6</v>
      </c>
      <c r="O555" s="36"/>
      <c r="P555" s="36"/>
      <c r="Q555" s="36"/>
      <c r="R555" s="37">
        <v>387.6</v>
      </c>
      <c r="S555" s="29">
        <f t="shared" si="280"/>
        <v>0.96900000000000008</v>
      </c>
      <c r="T555" s="30" t="str">
        <f t="shared" si="281"/>
        <v xml:space="preserve"> </v>
      </c>
      <c r="U555" s="30" t="str">
        <f t="shared" si="282"/>
        <v xml:space="preserve"> </v>
      </c>
      <c r="V555" s="30" t="str">
        <f t="shared" si="283"/>
        <v xml:space="preserve"> </v>
      </c>
      <c r="W555" s="30">
        <f t="shared" si="283"/>
        <v>0.96900000000000008</v>
      </c>
    </row>
    <row r="556" spans="1:23" s="38" customFormat="1" ht="29.25" customHeight="1" x14ac:dyDescent="0.2">
      <c r="A556" s="72"/>
      <c r="B556" s="76"/>
      <c r="C556" s="54" t="s">
        <v>134</v>
      </c>
      <c r="D556" s="55">
        <f t="shared" si="277"/>
        <v>0</v>
      </c>
      <c r="E556" s="56">
        <f>+E557</f>
        <v>0</v>
      </c>
      <c r="F556" s="56">
        <f>+F557</f>
        <v>0</v>
      </c>
      <c r="G556" s="56">
        <f>+G557</f>
        <v>0</v>
      </c>
      <c r="H556" s="57">
        <f>+H557</f>
        <v>0</v>
      </c>
      <c r="I556" s="55">
        <f t="shared" si="278"/>
        <v>400</v>
      </c>
      <c r="J556" s="56">
        <f>+J557</f>
        <v>0</v>
      </c>
      <c r="K556" s="56">
        <f>+K557</f>
        <v>0</v>
      </c>
      <c r="L556" s="56">
        <f>+L557</f>
        <v>0</v>
      </c>
      <c r="M556" s="57">
        <f>+M557</f>
        <v>400</v>
      </c>
      <c r="N556" s="55">
        <f t="shared" si="279"/>
        <v>387.6</v>
      </c>
      <c r="O556" s="56">
        <f>+O557</f>
        <v>0</v>
      </c>
      <c r="P556" s="56">
        <f>+P557</f>
        <v>0</v>
      </c>
      <c r="Q556" s="56">
        <f>+Q557</f>
        <v>0</v>
      </c>
      <c r="R556" s="57">
        <f>+R557</f>
        <v>387.6</v>
      </c>
      <c r="S556" s="26">
        <f t="shared" si="280"/>
        <v>0.96900000000000008</v>
      </c>
      <c r="T556" s="27" t="str">
        <f t="shared" si="281"/>
        <v xml:space="preserve"> </v>
      </c>
      <c r="U556" s="27" t="str">
        <f t="shared" si="282"/>
        <v xml:space="preserve"> </v>
      </c>
      <c r="V556" s="27" t="str">
        <f t="shared" si="283"/>
        <v xml:space="preserve"> </v>
      </c>
      <c r="W556" s="27">
        <f t="shared" si="283"/>
        <v>0.96900000000000008</v>
      </c>
    </row>
    <row r="557" spans="1:23" ht="16.5" x14ac:dyDescent="0.2">
      <c r="A557" s="74"/>
      <c r="B557" s="75"/>
      <c r="C557" s="4" t="s">
        <v>601</v>
      </c>
      <c r="D557" s="35">
        <f t="shared" si="277"/>
        <v>0</v>
      </c>
      <c r="E557" s="36"/>
      <c r="F557" s="36"/>
      <c r="G557" s="36"/>
      <c r="H557" s="37">
        <v>0</v>
      </c>
      <c r="I557" s="35">
        <f t="shared" si="278"/>
        <v>400</v>
      </c>
      <c r="J557" s="36"/>
      <c r="K557" s="36"/>
      <c r="L557" s="36"/>
      <c r="M557" s="37">
        <v>400</v>
      </c>
      <c r="N557" s="35">
        <f t="shared" si="279"/>
        <v>387.6</v>
      </c>
      <c r="O557" s="36"/>
      <c r="P557" s="36"/>
      <c r="Q557" s="36"/>
      <c r="R557" s="37">
        <v>387.6</v>
      </c>
      <c r="S557" s="29">
        <f t="shared" si="280"/>
        <v>0.96900000000000008</v>
      </c>
      <c r="T557" s="30" t="str">
        <f t="shared" si="281"/>
        <v xml:space="preserve"> </v>
      </c>
      <c r="U557" s="30" t="str">
        <f t="shared" si="282"/>
        <v xml:space="preserve"> </v>
      </c>
      <c r="V557" s="30" t="str">
        <f t="shared" si="283"/>
        <v xml:space="preserve"> </v>
      </c>
      <c r="W557" s="30">
        <f t="shared" si="283"/>
        <v>0.96900000000000008</v>
      </c>
    </row>
    <row r="558" spans="1:23" ht="50.25" customHeight="1" x14ac:dyDescent="0.2">
      <c r="A558" s="72">
        <v>1124</v>
      </c>
      <c r="B558" s="76">
        <v>32002</v>
      </c>
      <c r="C558" s="1" t="s">
        <v>602</v>
      </c>
      <c r="D558" s="5">
        <f t="shared" si="277"/>
        <v>0</v>
      </c>
      <c r="E558" s="6">
        <f>+E560</f>
        <v>0</v>
      </c>
      <c r="F558" s="6">
        <f>+F560</f>
        <v>0</v>
      </c>
      <c r="G558" s="6">
        <f>+G560</f>
        <v>0</v>
      </c>
      <c r="H558" s="7">
        <f>+H560</f>
        <v>0</v>
      </c>
      <c r="I558" s="5">
        <f t="shared" si="278"/>
        <v>35452.800000000003</v>
      </c>
      <c r="J558" s="6">
        <f>+J560</f>
        <v>0</v>
      </c>
      <c r="K558" s="6">
        <f>+K560</f>
        <v>35452.800000000003</v>
      </c>
      <c r="L558" s="6">
        <f>+L560</f>
        <v>0</v>
      </c>
      <c r="M558" s="7">
        <f>+M560</f>
        <v>0</v>
      </c>
      <c r="N558" s="5">
        <f t="shared" si="279"/>
        <v>30999.25</v>
      </c>
      <c r="O558" s="6">
        <f>+O560</f>
        <v>0</v>
      </c>
      <c r="P558" s="6">
        <f>+P560</f>
        <v>30999.25</v>
      </c>
      <c r="Q558" s="6">
        <f>+Q560</f>
        <v>0</v>
      </c>
      <c r="R558" s="7">
        <f>+R560</f>
        <v>0</v>
      </c>
      <c r="S558" s="26">
        <f t="shared" si="280"/>
        <v>0.87438086695550132</v>
      </c>
      <c r="T558" s="27" t="str">
        <f t="shared" si="281"/>
        <v xml:space="preserve"> </v>
      </c>
      <c r="U558" s="27">
        <f t="shared" si="282"/>
        <v>0.87438086695550132</v>
      </c>
      <c r="V558" s="27" t="str">
        <f t="shared" si="283"/>
        <v xml:space="preserve"> </v>
      </c>
      <c r="W558" s="27" t="str">
        <f t="shared" si="283"/>
        <v xml:space="preserve"> </v>
      </c>
    </row>
    <row r="559" spans="1:23" ht="20.25" customHeight="1" x14ac:dyDescent="0.2">
      <c r="A559" s="74"/>
      <c r="B559" s="75"/>
      <c r="C559" s="4" t="s">
        <v>10</v>
      </c>
      <c r="D559" s="35"/>
      <c r="E559" s="36"/>
      <c r="F559" s="36"/>
      <c r="G559" s="36"/>
      <c r="H559" s="37"/>
      <c r="I559" s="35"/>
      <c r="J559" s="36"/>
      <c r="K559" s="36"/>
      <c r="L559" s="36"/>
      <c r="M559" s="37"/>
      <c r="N559" s="35"/>
      <c r="O559" s="36"/>
      <c r="P559" s="36"/>
      <c r="Q559" s="36"/>
      <c r="R559" s="37"/>
      <c r="S559" s="29" t="str">
        <f t="shared" si="280"/>
        <v xml:space="preserve"> </v>
      </c>
      <c r="T559" s="30" t="str">
        <f t="shared" si="281"/>
        <v xml:space="preserve"> </v>
      </c>
      <c r="U559" s="30" t="str">
        <f t="shared" si="282"/>
        <v xml:space="preserve"> </v>
      </c>
      <c r="V559" s="30" t="str">
        <f t="shared" si="283"/>
        <v xml:space="preserve"> </v>
      </c>
      <c r="W559" s="30" t="str">
        <f t="shared" si="283"/>
        <v xml:space="preserve"> </v>
      </c>
    </row>
    <row r="560" spans="1:23" s="38" customFormat="1" ht="27" customHeight="1" x14ac:dyDescent="0.2">
      <c r="A560" s="78"/>
      <c r="B560" s="79"/>
      <c r="C560" s="54" t="s">
        <v>220</v>
      </c>
      <c r="D560" s="55">
        <f>SUM(E560:H560)</f>
        <v>0</v>
      </c>
      <c r="E560" s="56">
        <f>SUM(E561)</f>
        <v>0</v>
      </c>
      <c r="F560" s="56">
        <f>SUM(F561)</f>
        <v>0</v>
      </c>
      <c r="G560" s="56">
        <f>SUM(G561)</f>
        <v>0</v>
      </c>
      <c r="H560" s="57">
        <f>SUM(H561)</f>
        <v>0</v>
      </c>
      <c r="I560" s="55">
        <f>SUM(J560:M560)</f>
        <v>35452.800000000003</v>
      </c>
      <c r="J560" s="56">
        <f>SUM(J561)</f>
        <v>0</v>
      </c>
      <c r="K560" s="56">
        <f>SUM(K561)</f>
        <v>35452.800000000003</v>
      </c>
      <c r="L560" s="56">
        <f>SUM(L561)</f>
        <v>0</v>
      </c>
      <c r="M560" s="57">
        <f>SUM(M561)</f>
        <v>0</v>
      </c>
      <c r="N560" s="55">
        <f>SUM(O560:R560)</f>
        <v>30999.25</v>
      </c>
      <c r="O560" s="56">
        <f>SUM(O561)</f>
        <v>0</v>
      </c>
      <c r="P560" s="56">
        <f>SUM(P561)</f>
        <v>30999.25</v>
      </c>
      <c r="Q560" s="56">
        <f>SUM(Q561)</f>
        <v>0</v>
      </c>
      <c r="R560" s="57">
        <f>SUM(R561)</f>
        <v>0</v>
      </c>
      <c r="S560" s="26">
        <f t="shared" si="280"/>
        <v>0.87438086695550132</v>
      </c>
      <c r="T560" s="27" t="str">
        <f t="shared" si="281"/>
        <v xml:space="preserve"> </v>
      </c>
      <c r="U560" s="27">
        <f t="shared" si="282"/>
        <v>0.87438086695550132</v>
      </c>
      <c r="V560" s="27" t="str">
        <f t="shared" si="283"/>
        <v xml:space="preserve"> </v>
      </c>
      <c r="W560" s="27" t="str">
        <f t="shared" si="283"/>
        <v xml:space="preserve"> </v>
      </c>
    </row>
    <row r="561" spans="1:23" ht="43.5" customHeight="1" x14ac:dyDescent="0.2">
      <c r="A561" s="74"/>
      <c r="B561" s="75"/>
      <c r="C561" s="4" t="s">
        <v>589</v>
      </c>
      <c r="D561" s="35">
        <f>SUM(E561:H561)</f>
        <v>0</v>
      </c>
      <c r="E561" s="36"/>
      <c r="F561" s="36">
        <v>0</v>
      </c>
      <c r="G561" s="36"/>
      <c r="H561" s="37"/>
      <c r="I561" s="35">
        <f>SUM(J561:M561)</f>
        <v>35452.800000000003</v>
      </c>
      <c r="J561" s="36"/>
      <c r="K561" s="36">
        <v>35452.800000000003</v>
      </c>
      <c r="L561" s="36"/>
      <c r="M561" s="37"/>
      <c r="N561" s="35">
        <f>SUM(O561:R561)</f>
        <v>30999.25</v>
      </c>
      <c r="O561" s="36"/>
      <c r="P561" s="36">
        <v>30999.25</v>
      </c>
      <c r="Q561" s="36"/>
      <c r="R561" s="37"/>
      <c r="S561" s="29">
        <f t="shared" si="280"/>
        <v>0.87438086695550132</v>
      </c>
      <c r="T561" s="30" t="str">
        <f t="shared" si="281"/>
        <v xml:space="preserve"> </v>
      </c>
      <c r="U561" s="30">
        <f t="shared" si="282"/>
        <v>0.87438086695550132</v>
      </c>
      <c r="V561" s="30" t="str">
        <f t="shared" si="283"/>
        <v xml:space="preserve"> </v>
      </c>
      <c r="W561" s="30" t="str">
        <f t="shared" si="283"/>
        <v xml:space="preserve"> </v>
      </c>
    </row>
    <row r="562" spans="1:23" ht="91.5" customHeight="1" x14ac:dyDescent="0.2">
      <c r="A562" s="72">
        <v>1130</v>
      </c>
      <c r="B562" s="76">
        <v>31001</v>
      </c>
      <c r="C562" s="1" t="s">
        <v>603</v>
      </c>
      <c r="D562" s="5">
        <f>SUM(E562:H562)</f>
        <v>35205.699999999997</v>
      </c>
      <c r="E562" s="6"/>
      <c r="F562" s="6"/>
      <c r="G562" s="6"/>
      <c r="H562" s="7">
        <v>35205.699999999997</v>
      </c>
      <c r="I562" s="5">
        <f>SUM(J562:M562)</f>
        <v>35385.699999999997</v>
      </c>
      <c r="J562" s="6"/>
      <c r="K562" s="6"/>
      <c r="L562" s="6"/>
      <c r="M562" s="7">
        <v>35385.699999999997</v>
      </c>
      <c r="N562" s="5">
        <f>SUM(O562:R562)</f>
        <v>35238.47</v>
      </c>
      <c r="O562" s="6"/>
      <c r="P562" s="6"/>
      <c r="Q562" s="6"/>
      <c r="R562" s="7">
        <v>35238.47</v>
      </c>
      <c r="S562" s="26">
        <f t="shared" si="280"/>
        <v>0.99583927970903507</v>
      </c>
      <c r="T562" s="27" t="str">
        <f t="shared" si="281"/>
        <v xml:space="preserve"> </v>
      </c>
      <c r="U562" s="27" t="str">
        <f t="shared" si="282"/>
        <v xml:space="preserve"> </v>
      </c>
      <c r="V562" s="27" t="str">
        <f t="shared" si="283"/>
        <v xml:space="preserve"> </v>
      </c>
      <c r="W562" s="27">
        <f t="shared" si="283"/>
        <v>0.99583927970903507</v>
      </c>
    </row>
    <row r="563" spans="1:23" ht="66" customHeight="1" x14ac:dyDescent="0.2">
      <c r="A563" s="72">
        <v>1130</v>
      </c>
      <c r="B563" s="76">
        <v>31002</v>
      </c>
      <c r="C563" s="1" t="s">
        <v>847</v>
      </c>
      <c r="D563" s="5">
        <f>SUM(E563:H563)</f>
        <v>1969.5</v>
      </c>
      <c r="E563" s="6"/>
      <c r="F563" s="6"/>
      <c r="G563" s="6"/>
      <c r="H563" s="7">
        <v>1969.5</v>
      </c>
      <c r="I563" s="5">
        <f>SUM(J563:M563)</f>
        <v>1969.5</v>
      </c>
      <c r="J563" s="6"/>
      <c r="K563" s="6"/>
      <c r="L563" s="6"/>
      <c r="M563" s="7">
        <v>1969.5</v>
      </c>
      <c r="N563" s="5">
        <f>SUM(O563:R563)</f>
        <v>1939.5</v>
      </c>
      <c r="O563" s="6"/>
      <c r="P563" s="6"/>
      <c r="Q563" s="6"/>
      <c r="R563" s="7">
        <v>1939.5</v>
      </c>
      <c r="S563" s="26">
        <f t="shared" si="280"/>
        <v>0.98476770753998477</v>
      </c>
      <c r="T563" s="27" t="str">
        <f t="shared" si="281"/>
        <v xml:space="preserve"> </v>
      </c>
      <c r="U563" s="27" t="str">
        <f t="shared" si="282"/>
        <v xml:space="preserve"> </v>
      </c>
      <c r="V563" s="27" t="str">
        <f t="shared" si="283"/>
        <v xml:space="preserve"> </v>
      </c>
      <c r="W563" s="27">
        <f t="shared" si="283"/>
        <v>0.98476770753998477</v>
      </c>
    </row>
    <row r="564" spans="1:23" ht="69.75" customHeight="1" x14ac:dyDescent="0.2">
      <c r="A564" s="72">
        <v>1146</v>
      </c>
      <c r="B564" s="76">
        <v>12010</v>
      </c>
      <c r="C564" s="1" t="s">
        <v>604</v>
      </c>
      <c r="D564" s="5">
        <f>SUM(E564:H564)</f>
        <v>3275966</v>
      </c>
      <c r="E564" s="6">
        <f>+E566+E568+E575+E577+E581+E584+E586+3275966</f>
        <v>3275966</v>
      </c>
      <c r="F564" s="6">
        <f>+F566+F568+F575+F577+F581+F584+F586</f>
        <v>0</v>
      </c>
      <c r="G564" s="6">
        <f>+G566+G568+G575+G577+G581+G584+G586</f>
        <v>0</v>
      </c>
      <c r="H564" s="7">
        <f>+H566+H568+H575+H577+H581+H584+H586</f>
        <v>0</v>
      </c>
      <c r="I564" s="5">
        <f>SUM(J564:M564)</f>
        <v>554040.89999999991</v>
      </c>
      <c r="J564" s="6">
        <f>+J566+J568+J575+J577+J581+J584+J586</f>
        <v>504640.89999999991</v>
      </c>
      <c r="K564" s="6">
        <f>+K566+K568+K575+K577+K581+K584+K586</f>
        <v>0</v>
      </c>
      <c r="L564" s="6">
        <f>+L566+L568+L575+L577+L581+L584+L586</f>
        <v>49400</v>
      </c>
      <c r="M564" s="7">
        <f>+M566+M568+M575+M577+M581+M584+M586</f>
        <v>0</v>
      </c>
      <c r="N564" s="5">
        <f>SUM(O564:R564)</f>
        <v>538160.85000000009</v>
      </c>
      <c r="O564" s="6">
        <f>+O566+O568+O575+O577+O581+O584+O586</f>
        <v>498440.85000000003</v>
      </c>
      <c r="P564" s="6">
        <f>+P566+P568+P575+P577+P581+P584+P586</f>
        <v>0</v>
      </c>
      <c r="Q564" s="6">
        <f>+Q566+Q568+Q575+Q577+Q581+Q584+Q586</f>
        <v>39720</v>
      </c>
      <c r="R564" s="7">
        <f>+R566+R568+R575+R577+R581+R584+R586</f>
        <v>0</v>
      </c>
      <c r="S564" s="26">
        <f t="shared" si="280"/>
        <v>0.97133776585808052</v>
      </c>
      <c r="T564" s="27">
        <f t="shared" si="281"/>
        <v>0.98771393678158093</v>
      </c>
      <c r="U564" s="27" t="str">
        <f t="shared" si="282"/>
        <v xml:space="preserve"> </v>
      </c>
      <c r="V564" s="27">
        <f t="shared" si="283"/>
        <v>0.80404858299595139</v>
      </c>
      <c r="W564" s="27" t="str">
        <f t="shared" si="283"/>
        <v xml:space="preserve"> </v>
      </c>
    </row>
    <row r="565" spans="1:23" ht="21.75" customHeight="1" x14ac:dyDescent="0.2">
      <c r="A565" s="72"/>
      <c r="B565" s="76"/>
      <c r="C565" s="4" t="s">
        <v>10</v>
      </c>
      <c r="D565" s="5"/>
      <c r="E565" s="6"/>
      <c r="F565" s="6"/>
      <c r="G565" s="6"/>
      <c r="H565" s="7"/>
      <c r="I565" s="5"/>
      <c r="J565" s="6"/>
      <c r="K565" s="6"/>
      <c r="L565" s="6"/>
      <c r="M565" s="7"/>
      <c r="N565" s="5"/>
      <c r="O565" s="6"/>
      <c r="P565" s="6"/>
      <c r="Q565" s="6"/>
      <c r="R565" s="7"/>
      <c r="S565" s="29" t="str">
        <f t="shared" si="280"/>
        <v xml:space="preserve"> </v>
      </c>
      <c r="T565" s="30" t="str">
        <f t="shared" si="281"/>
        <v xml:space="preserve"> </v>
      </c>
      <c r="U565" s="30" t="str">
        <f t="shared" si="282"/>
        <v xml:space="preserve"> </v>
      </c>
      <c r="V565" s="30" t="str">
        <f t="shared" si="283"/>
        <v xml:space="preserve"> </v>
      </c>
      <c r="W565" s="30" t="str">
        <f t="shared" si="283"/>
        <v xml:space="preserve"> </v>
      </c>
    </row>
    <row r="566" spans="1:23" s="38" customFormat="1" ht="30" customHeight="1" x14ac:dyDescent="0.2">
      <c r="A566" s="78"/>
      <c r="B566" s="79"/>
      <c r="C566" s="54" t="s">
        <v>223</v>
      </c>
      <c r="D566" s="55">
        <f t="shared" ref="D566:D572" si="284">SUM(E566:H566)</f>
        <v>0</v>
      </c>
      <c r="E566" s="56">
        <f>+E567</f>
        <v>0</v>
      </c>
      <c r="F566" s="56">
        <f>+F567</f>
        <v>0</v>
      </c>
      <c r="G566" s="56">
        <f>+G567</f>
        <v>0</v>
      </c>
      <c r="H566" s="57">
        <f>+H567</f>
        <v>0</v>
      </c>
      <c r="I566" s="55">
        <f t="shared" ref="I566:I572" si="285">SUM(J566:M566)</f>
        <v>30951.599999999984</v>
      </c>
      <c r="J566" s="56">
        <f>+J567</f>
        <v>30951.599999999984</v>
      </c>
      <c r="K566" s="56">
        <f>+K567</f>
        <v>0</v>
      </c>
      <c r="L566" s="56">
        <f>+L567</f>
        <v>0</v>
      </c>
      <c r="M566" s="57">
        <f>+M567</f>
        <v>0</v>
      </c>
      <c r="N566" s="55">
        <f t="shared" ref="N566:N572" si="286">SUM(O566:R566)</f>
        <v>30951.599999999999</v>
      </c>
      <c r="O566" s="56">
        <f>+O567</f>
        <v>30951.599999999999</v>
      </c>
      <c r="P566" s="56">
        <f>+P567</f>
        <v>0</v>
      </c>
      <c r="Q566" s="56">
        <f>+Q567</f>
        <v>0</v>
      </c>
      <c r="R566" s="57">
        <f>+R567</f>
        <v>0</v>
      </c>
      <c r="S566" s="26">
        <f t="shared" si="280"/>
        <v>1.0000000000000004</v>
      </c>
      <c r="T566" s="27">
        <f t="shared" si="281"/>
        <v>1.0000000000000004</v>
      </c>
      <c r="U566" s="27" t="str">
        <f t="shared" si="282"/>
        <v xml:space="preserve"> </v>
      </c>
      <c r="V566" s="27" t="str">
        <f t="shared" si="283"/>
        <v xml:space="preserve"> </v>
      </c>
      <c r="W566" s="27" t="str">
        <f t="shared" si="283"/>
        <v xml:space="preserve"> </v>
      </c>
    </row>
    <row r="567" spans="1:23" ht="81" customHeight="1" x14ac:dyDescent="0.2">
      <c r="A567" s="74"/>
      <c r="B567" s="75"/>
      <c r="C567" s="4" t="s">
        <v>605</v>
      </c>
      <c r="D567" s="35">
        <f t="shared" si="284"/>
        <v>0</v>
      </c>
      <c r="E567" s="36">
        <v>0</v>
      </c>
      <c r="F567" s="36"/>
      <c r="G567" s="36"/>
      <c r="H567" s="37"/>
      <c r="I567" s="35">
        <f t="shared" si="285"/>
        <v>30951.599999999984</v>
      </c>
      <c r="J567" s="36">
        <v>30951.599999999984</v>
      </c>
      <c r="K567" s="36"/>
      <c r="L567" s="36"/>
      <c r="M567" s="37"/>
      <c r="N567" s="35">
        <f t="shared" si="286"/>
        <v>30951.599999999999</v>
      </c>
      <c r="O567" s="36">
        <v>30951.599999999999</v>
      </c>
      <c r="P567" s="36"/>
      <c r="Q567" s="36"/>
      <c r="R567" s="37"/>
      <c r="S567" s="29">
        <f t="shared" si="280"/>
        <v>1.0000000000000004</v>
      </c>
      <c r="T567" s="30">
        <f t="shared" si="281"/>
        <v>1.0000000000000004</v>
      </c>
      <c r="U567" s="30" t="str">
        <f t="shared" si="282"/>
        <v xml:space="preserve"> </v>
      </c>
      <c r="V567" s="30" t="str">
        <f t="shared" si="283"/>
        <v xml:space="preserve"> </v>
      </c>
      <c r="W567" s="30" t="str">
        <f t="shared" si="283"/>
        <v xml:space="preserve"> </v>
      </c>
    </row>
    <row r="568" spans="1:23" s="38" customFormat="1" ht="31.5" customHeight="1" x14ac:dyDescent="0.2">
      <c r="A568" s="78"/>
      <c r="B568" s="79"/>
      <c r="C568" s="54" t="s">
        <v>130</v>
      </c>
      <c r="D568" s="55">
        <f t="shared" si="284"/>
        <v>0</v>
      </c>
      <c r="E568" s="56">
        <f>+E569+E570+E571+E572+E573+E574</f>
        <v>0</v>
      </c>
      <c r="F568" s="56">
        <f>+F569+F570+F571+F572+F573+F574</f>
        <v>0</v>
      </c>
      <c r="G568" s="56">
        <f>+G569+G570+G571+G572+G573+G574</f>
        <v>0</v>
      </c>
      <c r="H568" s="57">
        <f>+H569+H570+H571+H572+H573+H574</f>
        <v>0</v>
      </c>
      <c r="I568" s="55">
        <f t="shared" si="285"/>
        <v>179849.60000000001</v>
      </c>
      <c r="J568" s="56">
        <f>+J569+J570+J571+J572+J573+J574</f>
        <v>160089.60000000001</v>
      </c>
      <c r="K568" s="56">
        <f>+K569+K570+K571+K572+K573+K574</f>
        <v>0</v>
      </c>
      <c r="L568" s="56">
        <f>+L569+L570+L571+L572+L573+L574</f>
        <v>19760</v>
      </c>
      <c r="M568" s="57">
        <f>+M569+M570+M571+M572+M573+M574</f>
        <v>0</v>
      </c>
      <c r="N568" s="55">
        <f t="shared" si="286"/>
        <v>179848.57</v>
      </c>
      <c r="O568" s="56">
        <f>+O569+O570+O571+O572+O573+O574</f>
        <v>160088.57</v>
      </c>
      <c r="P568" s="56">
        <f>+P569+P570+P571+P572+P573+P574</f>
        <v>0</v>
      </c>
      <c r="Q568" s="56">
        <f>+Q569+Q570+Q571+Q572+Q573+Q574</f>
        <v>19760</v>
      </c>
      <c r="R568" s="57">
        <f>+R569+R570+R571+R572+R573+R574</f>
        <v>0</v>
      </c>
      <c r="S568" s="26">
        <f t="shared" si="280"/>
        <v>0.99999427299254484</v>
      </c>
      <c r="T568" s="27">
        <f t="shared" si="281"/>
        <v>0.99999356610298229</v>
      </c>
      <c r="U568" s="27" t="str">
        <f t="shared" si="282"/>
        <v xml:space="preserve"> </v>
      </c>
      <c r="V568" s="27">
        <f t="shared" si="283"/>
        <v>1</v>
      </c>
      <c r="W568" s="27" t="str">
        <f t="shared" si="283"/>
        <v xml:space="preserve"> </v>
      </c>
    </row>
    <row r="569" spans="1:23" ht="58.5" customHeight="1" x14ac:dyDescent="0.2">
      <c r="A569" s="74"/>
      <c r="B569" s="75"/>
      <c r="C569" s="4" t="s">
        <v>606</v>
      </c>
      <c r="D569" s="35">
        <f t="shared" si="284"/>
        <v>0</v>
      </c>
      <c r="E569" s="36">
        <v>0</v>
      </c>
      <c r="F569" s="36"/>
      <c r="G569" s="36"/>
      <c r="H569" s="37"/>
      <c r="I569" s="35">
        <f t="shared" si="285"/>
        <v>129046.70000000001</v>
      </c>
      <c r="J569" s="36">
        <v>129046.70000000001</v>
      </c>
      <c r="K569" s="36"/>
      <c r="L569" s="36"/>
      <c r="M569" s="37"/>
      <c r="N569" s="35">
        <f t="shared" si="286"/>
        <v>129045.67</v>
      </c>
      <c r="O569" s="36">
        <v>129045.67</v>
      </c>
      <c r="P569" s="36"/>
      <c r="Q569" s="36"/>
      <c r="R569" s="37"/>
      <c r="S569" s="29">
        <f t="shared" si="280"/>
        <v>0.99999201839334118</v>
      </c>
      <c r="T569" s="30">
        <f t="shared" si="281"/>
        <v>0.99999201839334118</v>
      </c>
      <c r="U569" s="30" t="str">
        <f t="shared" si="282"/>
        <v xml:space="preserve"> </v>
      </c>
      <c r="V569" s="30" t="str">
        <f t="shared" si="283"/>
        <v xml:space="preserve"> </v>
      </c>
      <c r="W569" s="30" t="str">
        <f t="shared" si="283"/>
        <v xml:space="preserve"> </v>
      </c>
    </row>
    <row r="570" spans="1:23" ht="81.75" customHeight="1" x14ac:dyDescent="0.2">
      <c r="A570" s="74"/>
      <c r="B570" s="75"/>
      <c r="C570" s="4" t="s">
        <v>607</v>
      </c>
      <c r="D570" s="35">
        <f t="shared" si="284"/>
        <v>0</v>
      </c>
      <c r="E570" s="36">
        <v>0</v>
      </c>
      <c r="F570" s="36"/>
      <c r="G570" s="36"/>
      <c r="H570" s="37"/>
      <c r="I570" s="35">
        <f t="shared" si="285"/>
        <v>31042.899999999983</v>
      </c>
      <c r="J570" s="36">
        <v>31042.899999999983</v>
      </c>
      <c r="K570" s="36"/>
      <c r="L570" s="36"/>
      <c r="M570" s="37"/>
      <c r="N570" s="35">
        <f t="shared" si="286"/>
        <v>31042.899999999998</v>
      </c>
      <c r="O570" s="36">
        <v>31042.899999999998</v>
      </c>
      <c r="P570" s="36"/>
      <c r="Q570" s="36"/>
      <c r="R570" s="37"/>
      <c r="S570" s="29">
        <f t="shared" si="280"/>
        <v>1.0000000000000004</v>
      </c>
      <c r="T570" s="30">
        <f t="shared" si="281"/>
        <v>1.0000000000000004</v>
      </c>
      <c r="U570" s="30" t="str">
        <f t="shared" si="282"/>
        <v xml:space="preserve"> </v>
      </c>
      <c r="V570" s="30" t="str">
        <f t="shared" si="283"/>
        <v xml:space="preserve"> </v>
      </c>
      <c r="W570" s="30" t="str">
        <f t="shared" si="283"/>
        <v xml:space="preserve"> </v>
      </c>
    </row>
    <row r="571" spans="1:23" ht="81" customHeight="1" x14ac:dyDescent="0.2">
      <c r="A571" s="74"/>
      <c r="B571" s="75"/>
      <c r="C571" s="4" t="s">
        <v>608</v>
      </c>
      <c r="D571" s="35">
        <f t="shared" si="284"/>
        <v>0</v>
      </c>
      <c r="E571" s="36"/>
      <c r="F571" s="36"/>
      <c r="G571" s="36">
        <v>0</v>
      </c>
      <c r="H571" s="37"/>
      <c r="I571" s="35">
        <f t="shared" si="285"/>
        <v>4940</v>
      </c>
      <c r="J571" s="36"/>
      <c r="K571" s="36"/>
      <c r="L571" s="36">
        <v>4940</v>
      </c>
      <c r="M571" s="37"/>
      <c r="N571" s="35">
        <f t="shared" si="286"/>
        <v>4940</v>
      </c>
      <c r="O571" s="36"/>
      <c r="P571" s="36"/>
      <c r="Q571" s="36">
        <v>4940</v>
      </c>
      <c r="R571" s="37"/>
      <c r="S571" s="29">
        <f t="shared" si="280"/>
        <v>1</v>
      </c>
      <c r="T571" s="30" t="str">
        <f t="shared" si="281"/>
        <v xml:space="preserve"> </v>
      </c>
      <c r="U571" s="30" t="str">
        <f t="shared" si="282"/>
        <v xml:space="preserve"> </v>
      </c>
      <c r="V571" s="30">
        <f t="shared" si="283"/>
        <v>1</v>
      </c>
      <c r="W571" s="30" t="str">
        <f t="shared" si="283"/>
        <v xml:space="preserve"> </v>
      </c>
    </row>
    <row r="572" spans="1:23" ht="78" customHeight="1" x14ac:dyDescent="0.2">
      <c r="A572" s="74"/>
      <c r="B572" s="75"/>
      <c r="C572" s="4" t="s">
        <v>609</v>
      </c>
      <c r="D572" s="35">
        <f t="shared" si="284"/>
        <v>0</v>
      </c>
      <c r="E572" s="36"/>
      <c r="F572" s="36"/>
      <c r="G572" s="36">
        <v>0</v>
      </c>
      <c r="H572" s="37"/>
      <c r="I572" s="35">
        <f t="shared" si="285"/>
        <v>4940</v>
      </c>
      <c r="J572" s="36"/>
      <c r="K572" s="36"/>
      <c r="L572" s="36">
        <v>4940</v>
      </c>
      <c r="M572" s="37"/>
      <c r="N572" s="35">
        <f t="shared" si="286"/>
        <v>4940</v>
      </c>
      <c r="O572" s="36"/>
      <c r="P572" s="36"/>
      <c r="Q572" s="36">
        <v>4940</v>
      </c>
      <c r="R572" s="37"/>
      <c r="S572" s="29">
        <f t="shared" si="280"/>
        <v>1</v>
      </c>
      <c r="T572" s="30" t="str">
        <f t="shared" si="281"/>
        <v xml:space="preserve"> </v>
      </c>
      <c r="U572" s="30" t="str">
        <f t="shared" si="282"/>
        <v xml:space="preserve"> </v>
      </c>
      <c r="V572" s="30">
        <f t="shared" si="283"/>
        <v>1</v>
      </c>
      <c r="W572" s="30" t="str">
        <f t="shared" si="283"/>
        <v xml:space="preserve"> </v>
      </c>
    </row>
    <row r="573" spans="1:23" ht="84.75" customHeight="1" x14ac:dyDescent="0.2">
      <c r="A573" s="74"/>
      <c r="B573" s="75"/>
      <c r="C573" s="4" t="s">
        <v>610</v>
      </c>
      <c r="D573" s="35">
        <f>SUM(E573:H573)</f>
        <v>0</v>
      </c>
      <c r="E573" s="36"/>
      <c r="F573" s="36"/>
      <c r="G573" s="36">
        <v>0</v>
      </c>
      <c r="H573" s="37"/>
      <c r="I573" s="35">
        <f>SUM(J573:M573)</f>
        <v>4940</v>
      </c>
      <c r="J573" s="36"/>
      <c r="K573" s="36"/>
      <c r="L573" s="36">
        <v>4940</v>
      </c>
      <c r="M573" s="37"/>
      <c r="N573" s="35">
        <f>SUM(O573:R573)</f>
        <v>4940</v>
      </c>
      <c r="O573" s="36"/>
      <c r="P573" s="36"/>
      <c r="Q573" s="36">
        <v>4940</v>
      </c>
      <c r="R573" s="37"/>
      <c r="S573" s="29">
        <f t="shared" si="280"/>
        <v>1</v>
      </c>
      <c r="T573" s="30" t="str">
        <f t="shared" si="281"/>
        <v xml:space="preserve"> </v>
      </c>
      <c r="U573" s="30" t="str">
        <f t="shared" si="282"/>
        <v xml:space="preserve"> </v>
      </c>
      <c r="V573" s="30">
        <f t="shared" si="283"/>
        <v>1</v>
      </c>
      <c r="W573" s="30" t="str">
        <f t="shared" si="283"/>
        <v xml:space="preserve"> </v>
      </c>
    </row>
    <row r="574" spans="1:23" ht="76.5" customHeight="1" x14ac:dyDescent="0.2">
      <c r="A574" s="74"/>
      <c r="B574" s="75"/>
      <c r="C574" s="4" t="s">
        <v>611</v>
      </c>
      <c r="D574" s="35">
        <f>SUM(E574:H574)</f>
        <v>0</v>
      </c>
      <c r="E574" s="36"/>
      <c r="F574" s="36"/>
      <c r="G574" s="36">
        <v>0</v>
      </c>
      <c r="H574" s="37"/>
      <c r="I574" s="35">
        <f>SUM(J574:M574)</f>
        <v>4940</v>
      </c>
      <c r="J574" s="36"/>
      <c r="K574" s="36"/>
      <c r="L574" s="36">
        <v>4940</v>
      </c>
      <c r="M574" s="37"/>
      <c r="N574" s="35">
        <f>SUM(O574:R574)</f>
        <v>4940</v>
      </c>
      <c r="O574" s="36"/>
      <c r="P574" s="36"/>
      <c r="Q574" s="36">
        <v>4940</v>
      </c>
      <c r="R574" s="37"/>
      <c r="S574" s="29">
        <f t="shared" si="280"/>
        <v>1</v>
      </c>
      <c r="T574" s="30" t="str">
        <f t="shared" si="281"/>
        <v xml:space="preserve"> </v>
      </c>
      <c r="U574" s="30" t="str">
        <f t="shared" si="282"/>
        <v xml:space="preserve"> </v>
      </c>
      <c r="V574" s="30">
        <f t="shared" si="283"/>
        <v>1</v>
      </c>
      <c r="W574" s="30" t="str">
        <f t="shared" si="283"/>
        <v xml:space="preserve"> </v>
      </c>
    </row>
    <row r="575" spans="1:23" s="38" customFormat="1" ht="36" customHeight="1" x14ac:dyDescent="0.2">
      <c r="A575" s="78"/>
      <c r="B575" s="79"/>
      <c r="C575" s="54" t="s">
        <v>594</v>
      </c>
      <c r="D575" s="55">
        <f t="shared" ref="D575:D587" si="287">SUM(E575:H575)</f>
        <v>0</v>
      </c>
      <c r="E575" s="56">
        <f>+E576</f>
        <v>0</v>
      </c>
      <c r="F575" s="56">
        <f>+F576</f>
        <v>0</v>
      </c>
      <c r="G575" s="56">
        <f>+G576</f>
        <v>0</v>
      </c>
      <c r="H575" s="57">
        <f>+H576</f>
        <v>0</v>
      </c>
      <c r="I575" s="55">
        <f t="shared" ref="I575:I587" si="288">SUM(J575:M575)</f>
        <v>156407.09999999998</v>
      </c>
      <c r="J575" s="56">
        <f>+J576</f>
        <v>156407.09999999998</v>
      </c>
      <c r="K575" s="56">
        <f>+K576</f>
        <v>0</v>
      </c>
      <c r="L575" s="56">
        <f>+L576</f>
        <v>0</v>
      </c>
      <c r="M575" s="57">
        <f>+M576</f>
        <v>0</v>
      </c>
      <c r="N575" s="55">
        <f t="shared" ref="N575:N587" si="289">SUM(O575:R575)</f>
        <v>153671.99</v>
      </c>
      <c r="O575" s="56">
        <f>+O576</f>
        <v>153671.99</v>
      </c>
      <c r="P575" s="56">
        <f>+P576</f>
        <v>0</v>
      </c>
      <c r="Q575" s="56">
        <f>+Q576</f>
        <v>0</v>
      </c>
      <c r="R575" s="57">
        <f>+R576</f>
        <v>0</v>
      </c>
      <c r="S575" s="26">
        <f t="shared" si="280"/>
        <v>0.98251287825169076</v>
      </c>
      <c r="T575" s="27">
        <f t="shared" si="281"/>
        <v>0.98251287825169076</v>
      </c>
      <c r="U575" s="27" t="str">
        <f t="shared" si="282"/>
        <v xml:space="preserve"> </v>
      </c>
      <c r="V575" s="27" t="str">
        <f t="shared" si="283"/>
        <v xml:space="preserve"> </v>
      </c>
      <c r="W575" s="27" t="str">
        <f t="shared" si="283"/>
        <v xml:space="preserve"> </v>
      </c>
    </row>
    <row r="576" spans="1:23" ht="81" customHeight="1" x14ac:dyDescent="0.2">
      <c r="A576" s="74"/>
      <c r="B576" s="75"/>
      <c r="C576" s="4" t="s">
        <v>612</v>
      </c>
      <c r="D576" s="35">
        <f t="shared" si="287"/>
        <v>0</v>
      </c>
      <c r="E576" s="36">
        <v>0</v>
      </c>
      <c r="F576" s="36"/>
      <c r="G576" s="36"/>
      <c r="H576" s="37"/>
      <c r="I576" s="35">
        <f t="shared" si="288"/>
        <v>156407.09999999998</v>
      </c>
      <c r="J576" s="36">
        <v>156407.09999999998</v>
      </c>
      <c r="K576" s="36"/>
      <c r="L576" s="36"/>
      <c r="M576" s="37"/>
      <c r="N576" s="35">
        <f t="shared" si="289"/>
        <v>153671.99</v>
      </c>
      <c r="O576" s="36">
        <v>153671.99</v>
      </c>
      <c r="P576" s="36"/>
      <c r="Q576" s="36"/>
      <c r="R576" s="37"/>
      <c r="S576" s="29">
        <f t="shared" si="280"/>
        <v>0.98251287825169076</v>
      </c>
      <c r="T576" s="30">
        <f t="shared" si="281"/>
        <v>0.98251287825169076</v>
      </c>
      <c r="U576" s="30" t="str">
        <f t="shared" si="282"/>
        <v xml:space="preserve"> </v>
      </c>
      <c r="V576" s="30" t="str">
        <f t="shared" si="283"/>
        <v xml:space="preserve"> </v>
      </c>
      <c r="W576" s="30" t="str">
        <f t="shared" si="283"/>
        <v xml:space="preserve"> </v>
      </c>
    </row>
    <row r="577" spans="1:23" s="38" customFormat="1" ht="27" customHeight="1" x14ac:dyDescent="0.2">
      <c r="A577" s="78"/>
      <c r="B577" s="79"/>
      <c r="C577" s="54" t="s">
        <v>131</v>
      </c>
      <c r="D577" s="55">
        <f t="shared" si="287"/>
        <v>0</v>
      </c>
      <c r="E577" s="56">
        <f>+E578+E579+E580</f>
        <v>0</v>
      </c>
      <c r="F577" s="56">
        <f>+F578+F579+F580</f>
        <v>0</v>
      </c>
      <c r="G577" s="56">
        <f>+G578+G579+G580</f>
        <v>0</v>
      </c>
      <c r="H577" s="57">
        <f>+H578+H579+H580</f>
        <v>0</v>
      </c>
      <c r="I577" s="55">
        <f t="shared" si="288"/>
        <v>167072.6</v>
      </c>
      <c r="J577" s="56">
        <f>+J578+J579+J580</f>
        <v>157192.6</v>
      </c>
      <c r="K577" s="56">
        <f>+K578+K579+K580</f>
        <v>0</v>
      </c>
      <c r="L577" s="56">
        <f>+L578+L579+L580</f>
        <v>9880</v>
      </c>
      <c r="M577" s="57">
        <f>+M578+M579+M580</f>
        <v>0</v>
      </c>
      <c r="N577" s="55">
        <f t="shared" si="289"/>
        <v>158868.69</v>
      </c>
      <c r="O577" s="56">
        <f>+O578+O579+O580</f>
        <v>153728.69</v>
      </c>
      <c r="P577" s="56">
        <f>+P578+P579+P580</f>
        <v>0</v>
      </c>
      <c r="Q577" s="56">
        <f>+Q578+Q579+Q580</f>
        <v>5140</v>
      </c>
      <c r="R577" s="57">
        <f>+R578+R579+R580</f>
        <v>0</v>
      </c>
      <c r="S577" s="26">
        <f t="shared" si="280"/>
        <v>0.95089613736782685</v>
      </c>
      <c r="T577" s="27">
        <f t="shared" si="281"/>
        <v>0.97796391178719611</v>
      </c>
      <c r="U577" s="27" t="str">
        <f t="shared" si="282"/>
        <v xml:space="preserve"> </v>
      </c>
      <c r="V577" s="27">
        <f t="shared" si="283"/>
        <v>0.52024291497975705</v>
      </c>
      <c r="W577" s="27" t="str">
        <f t="shared" si="283"/>
        <v xml:space="preserve"> </v>
      </c>
    </row>
    <row r="578" spans="1:23" ht="68.25" customHeight="1" x14ac:dyDescent="0.2">
      <c r="A578" s="74"/>
      <c r="B578" s="75"/>
      <c r="C578" s="4" t="s">
        <v>613</v>
      </c>
      <c r="D578" s="35">
        <f t="shared" si="287"/>
        <v>0</v>
      </c>
      <c r="E578" s="36">
        <v>0</v>
      </c>
      <c r="F578" s="36"/>
      <c r="G578" s="36"/>
      <c r="H578" s="37"/>
      <c r="I578" s="35">
        <f t="shared" si="288"/>
        <v>157192.6</v>
      </c>
      <c r="J578" s="36">
        <v>157192.6</v>
      </c>
      <c r="K578" s="36"/>
      <c r="L578" s="36"/>
      <c r="M578" s="37"/>
      <c r="N578" s="35">
        <f t="shared" si="289"/>
        <v>153728.69</v>
      </c>
      <c r="O578" s="36">
        <v>153728.69</v>
      </c>
      <c r="P578" s="36"/>
      <c r="Q578" s="36"/>
      <c r="R578" s="37"/>
      <c r="S578" s="29">
        <f t="shared" si="280"/>
        <v>0.97796391178719611</v>
      </c>
      <c r="T578" s="30">
        <f t="shared" si="281"/>
        <v>0.97796391178719611</v>
      </c>
      <c r="U578" s="30" t="str">
        <f t="shared" si="282"/>
        <v xml:space="preserve"> </v>
      </c>
      <c r="V578" s="30" t="str">
        <f t="shared" si="283"/>
        <v xml:space="preserve"> </v>
      </c>
      <c r="W578" s="30" t="str">
        <f t="shared" si="283"/>
        <v xml:space="preserve"> </v>
      </c>
    </row>
    <row r="579" spans="1:23" ht="83.25" customHeight="1" x14ac:dyDescent="0.2">
      <c r="A579" s="74"/>
      <c r="B579" s="75"/>
      <c r="C579" s="4" t="s">
        <v>614</v>
      </c>
      <c r="D579" s="35">
        <f t="shared" si="287"/>
        <v>0</v>
      </c>
      <c r="E579" s="36"/>
      <c r="F579" s="36"/>
      <c r="G579" s="36">
        <v>0</v>
      </c>
      <c r="H579" s="37"/>
      <c r="I579" s="35">
        <f t="shared" si="288"/>
        <v>4940</v>
      </c>
      <c r="J579" s="36"/>
      <c r="K579" s="36"/>
      <c r="L579" s="36">
        <v>4940</v>
      </c>
      <c r="M579" s="37"/>
      <c r="N579" s="35">
        <f t="shared" si="289"/>
        <v>4940</v>
      </c>
      <c r="O579" s="36"/>
      <c r="P579" s="36"/>
      <c r="Q579" s="36">
        <v>4940</v>
      </c>
      <c r="R579" s="37"/>
      <c r="S579" s="29">
        <f t="shared" si="280"/>
        <v>1</v>
      </c>
      <c r="T579" s="30" t="str">
        <f t="shared" si="281"/>
        <v xml:space="preserve"> </v>
      </c>
      <c r="U579" s="30" t="str">
        <f t="shared" si="282"/>
        <v xml:space="preserve"> </v>
      </c>
      <c r="V579" s="30">
        <f t="shared" si="283"/>
        <v>1</v>
      </c>
      <c r="W579" s="30" t="str">
        <f t="shared" si="283"/>
        <v xml:space="preserve"> </v>
      </c>
    </row>
    <row r="580" spans="1:23" ht="84.75" customHeight="1" x14ac:dyDescent="0.2">
      <c r="A580" s="74"/>
      <c r="B580" s="75"/>
      <c r="C580" s="4" t="s">
        <v>615</v>
      </c>
      <c r="D580" s="35">
        <f t="shared" si="287"/>
        <v>0</v>
      </c>
      <c r="E580" s="36"/>
      <c r="F580" s="36"/>
      <c r="G580" s="36">
        <v>0</v>
      </c>
      <c r="H580" s="37"/>
      <c r="I580" s="35">
        <f t="shared" si="288"/>
        <v>4940</v>
      </c>
      <c r="J580" s="36"/>
      <c r="K580" s="36"/>
      <c r="L580" s="36">
        <v>4940</v>
      </c>
      <c r="M580" s="37"/>
      <c r="N580" s="35">
        <f t="shared" si="289"/>
        <v>200</v>
      </c>
      <c r="O580" s="36"/>
      <c r="P580" s="36"/>
      <c r="Q580" s="36">
        <v>200</v>
      </c>
      <c r="R580" s="37"/>
      <c r="S580" s="29">
        <f t="shared" si="280"/>
        <v>4.048582995951417E-2</v>
      </c>
      <c r="T580" s="30" t="str">
        <f t="shared" si="281"/>
        <v xml:space="preserve"> </v>
      </c>
      <c r="U580" s="30" t="str">
        <f t="shared" si="282"/>
        <v xml:space="preserve"> </v>
      </c>
      <c r="V580" s="30">
        <f t="shared" si="283"/>
        <v>4.048582995951417E-2</v>
      </c>
      <c r="W580" s="30" t="str">
        <f t="shared" si="283"/>
        <v xml:space="preserve"> </v>
      </c>
    </row>
    <row r="581" spans="1:23" s="38" customFormat="1" ht="36.75" customHeight="1" x14ac:dyDescent="0.2">
      <c r="A581" s="78"/>
      <c r="B581" s="79"/>
      <c r="C581" s="54" t="s">
        <v>232</v>
      </c>
      <c r="D581" s="55">
        <f t="shared" si="287"/>
        <v>0</v>
      </c>
      <c r="E581" s="56">
        <f>+E582+E583</f>
        <v>0</v>
      </c>
      <c r="F581" s="56">
        <f>+F582+F583</f>
        <v>0</v>
      </c>
      <c r="G581" s="56">
        <f>+G582+G583</f>
        <v>0</v>
      </c>
      <c r="H581" s="57">
        <f>+H582+H583</f>
        <v>0</v>
      </c>
      <c r="I581" s="55">
        <f t="shared" si="288"/>
        <v>9880</v>
      </c>
      <c r="J581" s="56">
        <f>+J582+J583</f>
        <v>0</v>
      </c>
      <c r="K581" s="56">
        <f>+K582+K583</f>
        <v>0</v>
      </c>
      <c r="L581" s="56">
        <f>+L582+L583</f>
        <v>9880</v>
      </c>
      <c r="M581" s="57">
        <f>+M582+M583</f>
        <v>0</v>
      </c>
      <c r="N581" s="55">
        <f t="shared" si="289"/>
        <v>9880</v>
      </c>
      <c r="O581" s="56">
        <f>+O582+O583</f>
        <v>0</v>
      </c>
      <c r="P581" s="56">
        <f>+P582+P583</f>
        <v>0</v>
      </c>
      <c r="Q581" s="56">
        <f>+Q582+Q583</f>
        <v>9880</v>
      </c>
      <c r="R581" s="57">
        <f>+R582+R583</f>
        <v>0</v>
      </c>
      <c r="S581" s="26">
        <f t="shared" si="280"/>
        <v>1</v>
      </c>
      <c r="T581" s="27" t="str">
        <f t="shared" si="281"/>
        <v xml:space="preserve"> </v>
      </c>
      <c r="U581" s="27" t="str">
        <f t="shared" si="282"/>
        <v xml:space="preserve"> </v>
      </c>
      <c r="V581" s="27">
        <f t="shared" si="283"/>
        <v>1</v>
      </c>
      <c r="W581" s="27" t="str">
        <f t="shared" si="283"/>
        <v xml:space="preserve"> </v>
      </c>
    </row>
    <row r="582" spans="1:23" ht="90.75" customHeight="1" x14ac:dyDescent="0.2">
      <c r="A582" s="74"/>
      <c r="B582" s="75"/>
      <c r="C582" s="4" t="s">
        <v>616</v>
      </c>
      <c r="D582" s="35">
        <f t="shared" si="287"/>
        <v>0</v>
      </c>
      <c r="E582" s="36"/>
      <c r="F582" s="36"/>
      <c r="G582" s="36">
        <v>0</v>
      </c>
      <c r="H582" s="37"/>
      <c r="I582" s="35">
        <f t="shared" si="288"/>
        <v>4940</v>
      </c>
      <c r="J582" s="36"/>
      <c r="K582" s="36"/>
      <c r="L582" s="36">
        <v>4940</v>
      </c>
      <c r="M582" s="37"/>
      <c r="N582" s="35">
        <f t="shared" si="289"/>
        <v>4940</v>
      </c>
      <c r="O582" s="36"/>
      <c r="P582" s="36"/>
      <c r="Q582" s="36">
        <v>4940</v>
      </c>
      <c r="R582" s="37"/>
      <c r="S582" s="29">
        <f t="shared" si="280"/>
        <v>1</v>
      </c>
      <c r="T582" s="30" t="str">
        <f t="shared" si="281"/>
        <v xml:space="preserve"> </v>
      </c>
      <c r="U582" s="30" t="str">
        <f t="shared" si="282"/>
        <v xml:space="preserve"> </v>
      </c>
      <c r="V582" s="30">
        <f t="shared" si="283"/>
        <v>1</v>
      </c>
      <c r="W582" s="30" t="str">
        <f t="shared" si="283"/>
        <v xml:space="preserve"> </v>
      </c>
    </row>
    <row r="583" spans="1:23" ht="63.75" customHeight="1" x14ac:dyDescent="0.2">
      <c r="A583" s="74"/>
      <c r="B583" s="75"/>
      <c r="C583" s="4" t="s">
        <v>617</v>
      </c>
      <c r="D583" s="35">
        <f t="shared" si="287"/>
        <v>0</v>
      </c>
      <c r="E583" s="36"/>
      <c r="F583" s="36"/>
      <c r="G583" s="36">
        <v>0</v>
      </c>
      <c r="H583" s="37"/>
      <c r="I583" s="35">
        <f t="shared" si="288"/>
        <v>4940</v>
      </c>
      <c r="J583" s="36"/>
      <c r="K583" s="36"/>
      <c r="L583" s="36">
        <v>4940</v>
      </c>
      <c r="M583" s="37"/>
      <c r="N583" s="35">
        <f t="shared" si="289"/>
        <v>4940</v>
      </c>
      <c r="O583" s="36"/>
      <c r="P583" s="36"/>
      <c r="Q583" s="36">
        <v>4940</v>
      </c>
      <c r="R583" s="37"/>
      <c r="S583" s="29">
        <f t="shared" si="280"/>
        <v>1</v>
      </c>
      <c r="T583" s="30" t="str">
        <f t="shared" si="281"/>
        <v xml:space="preserve"> </v>
      </c>
      <c r="U583" s="30" t="str">
        <f t="shared" si="282"/>
        <v xml:space="preserve"> </v>
      </c>
      <c r="V583" s="30">
        <f t="shared" si="283"/>
        <v>1</v>
      </c>
      <c r="W583" s="30" t="str">
        <f t="shared" si="283"/>
        <v xml:space="preserve"> </v>
      </c>
    </row>
    <row r="584" spans="1:23" s="38" customFormat="1" ht="36" customHeight="1" x14ac:dyDescent="0.2">
      <c r="A584" s="78"/>
      <c r="B584" s="79"/>
      <c r="C584" s="54" t="s">
        <v>561</v>
      </c>
      <c r="D584" s="55">
        <f t="shared" si="287"/>
        <v>0</v>
      </c>
      <c r="E584" s="56">
        <f>+E585</f>
        <v>0</v>
      </c>
      <c r="F584" s="56">
        <f>+F585</f>
        <v>0</v>
      </c>
      <c r="G584" s="56">
        <f>+G585</f>
        <v>0</v>
      </c>
      <c r="H584" s="57">
        <f>+H585</f>
        <v>0</v>
      </c>
      <c r="I584" s="55">
        <f t="shared" si="288"/>
        <v>4940</v>
      </c>
      <c r="J584" s="56">
        <f>+J585</f>
        <v>0</v>
      </c>
      <c r="K584" s="56">
        <f>+K585</f>
        <v>0</v>
      </c>
      <c r="L584" s="56">
        <f>+L585</f>
        <v>4940</v>
      </c>
      <c r="M584" s="57">
        <f>+M585</f>
        <v>0</v>
      </c>
      <c r="N584" s="55">
        <f t="shared" si="289"/>
        <v>0</v>
      </c>
      <c r="O584" s="56">
        <f>+O585</f>
        <v>0</v>
      </c>
      <c r="P584" s="56">
        <f>+P585</f>
        <v>0</v>
      </c>
      <c r="Q584" s="56">
        <f>+Q585</f>
        <v>0</v>
      </c>
      <c r="R584" s="57">
        <f>+R585</f>
        <v>0</v>
      </c>
      <c r="S584" s="26">
        <f t="shared" si="280"/>
        <v>0</v>
      </c>
      <c r="T584" s="27" t="str">
        <f t="shared" si="281"/>
        <v xml:space="preserve"> </v>
      </c>
      <c r="U584" s="27" t="str">
        <f t="shared" si="282"/>
        <v xml:space="preserve"> </v>
      </c>
      <c r="V584" s="27">
        <f t="shared" si="283"/>
        <v>0</v>
      </c>
      <c r="W584" s="27" t="str">
        <f t="shared" si="283"/>
        <v xml:space="preserve"> </v>
      </c>
    </row>
    <row r="585" spans="1:23" ht="76.5" customHeight="1" x14ac:dyDescent="0.2">
      <c r="A585" s="74"/>
      <c r="B585" s="75"/>
      <c r="C585" s="4" t="s">
        <v>618</v>
      </c>
      <c r="D585" s="35">
        <f t="shared" si="287"/>
        <v>0</v>
      </c>
      <c r="E585" s="36"/>
      <c r="F585" s="36"/>
      <c r="G585" s="36">
        <v>0</v>
      </c>
      <c r="H585" s="37"/>
      <c r="I585" s="35">
        <f t="shared" si="288"/>
        <v>4940</v>
      </c>
      <c r="J585" s="36"/>
      <c r="K585" s="36"/>
      <c r="L585" s="36">
        <v>4940</v>
      </c>
      <c r="M585" s="37"/>
      <c r="N585" s="35">
        <f t="shared" si="289"/>
        <v>0</v>
      </c>
      <c r="O585" s="36"/>
      <c r="P585" s="36"/>
      <c r="Q585" s="36">
        <v>0</v>
      </c>
      <c r="R585" s="37"/>
      <c r="S585" s="29">
        <f t="shared" si="280"/>
        <v>0</v>
      </c>
      <c r="T585" s="30" t="str">
        <f t="shared" si="281"/>
        <v xml:space="preserve"> </v>
      </c>
      <c r="U585" s="30" t="str">
        <f t="shared" si="282"/>
        <v xml:space="preserve"> </v>
      </c>
      <c r="V585" s="30">
        <f t="shared" si="283"/>
        <v>0</v>
      </c>
      <c r="W585" s="30" t="str">
        <f t="shared" si="283"/>
        <v xml:space="preserve"> </v>
      </c>
    </row>
    <row r="586" spans="1:23" s="38" customFormat="1" ht="45.75" customHeight="1" x14ac:dyDescent="0.2">
      <c r="A586" s="78"/>
      <c r="B586" s="79"/>
      <c r="C586" s="54" t="s">
        <v>134</v>
      </c>
      <c r="D586" s="55">
        <f t="shared" si="287"/>
        <v>0</v>
      </c>
      <c r="E586" s="56">
        <f>+E587</f>
        <v>0</v>
      </c>
      <c r="F586" s="56">
        <f>+F587</f>
        <v>0</v>
      </c>
      <c r="G586" s="56">
        <f>+G587</f>
        <v>0</v>
      </c>
      <c r="H586" s="57">
        <f>+H587</f>
        <v>0</v>
      </c>
      <c r="I586" s="55">
        <f t="shared" si="288"/>
        <v>4940</v>
      </c>
      <c r="J586" s="56">
        <f>+J587</f>
        <v>0</v>
      </c>
      <c r="K586" s="56">
        <f>+K587</f>
        <v>0</v>
      </c>
      <c r="L586" s="56">
        <f>+L587</f>
        <v>4940</v>
      </c>
      <c r="M586" s="57">
        <f>+M587</f>
        <v>0</v>
      </c>
      <c r="N586" s="55">
        <f t="shared" si="289"/>
        <v>4940</v>
      </c>
      <c r="O586" s="56">
        <f>+O587</f>
        <v>0</v>
      </c>
      <c r="P586" s="56">
        <f>+P587</f>
        <v>0</v>
      </c>
      <c r="Q586" s="56">
        <f>+Q587</f>
        <v>4940</v>
      </c>
      <c r="R586" s="57">
        <f>+R587</f>
        <v>0</v>
      </c>
      <c r="S586" s="26">
        <f t="shared" si="280"/>
        <v>1</v>
      </c>
      <c r="T586" s="27" t="str">
        <f t="shared" si="281"/>
        <v xml:space="preserve"> </v>
      </c>
      <c r="U586" s="27" t="str">
        <f t="shared" si="282"/>
        <v xml:space="preserve"> </v>
      </c>
      <c r="V586" s="27">
        <f t="shared" si="283"/>
        <v>1</v>
      </c>
      <c r="W586" s="27" t="str">
        <f t="shared" si="283"/>
        <v xml:space="preserve"> </v>
      </c>
    </row>
    <row r="587" spans="1:23" ht="90.75" customHeight="1" x14ac:dyDescent="0.2">
      <c r="A587" s="74"/>
      <c r="B587" s="75"/>
      <c r="C587" s="4" t="s">
        <v>619</v>
      </c>
      <c r="D587" s="35">
        <f t="shared" si="287"/>
        <v>0</v>
      </c>
      <c r="E587" s="36"/>
      <c r="F587" s="36"/>
      <c r="G587" s="36">
        <v>0</v>
      </c>
      <c r="H587" s="37"/>
      <c r="I587" s="35">
        <f t="shared" si="288"/>
        <v>4940</v>
      </c>
      <c r="J587" s="36"/>
      <c r="K587" s="36"/>
      <c r="L587" s="36">
        <v>4940</v>
      </c>
      <c r="M587" s="37"/>
      <c r="N587" s="35">
        <f t="shared" si="289"/>
        <v>4940</v>
      </c>
      <c r="O587" s="36"/>
      <c r="P587" s="36"/>
      <c r="Q587" s="36">
        <v>4940</v>
      </c>
      <c r="R587" s="37"/>
      <c r="S587" s="29">
        <f t="shared" si="280"/>
        <v>1</v>
      </c>
      <c r="T587" s="30" t="str">
        <f t="shared" si="281"/>
        <v xml:space="preserve"> </v>
      </c>
      <c r="U587" s="30" t="str">
        <f t="shared" si="282"/>
        <v xml:space="preserve"> </v>
      </c>
      <c r="V587" s="30">
        <f t="shared" si="283"/>
        <v>1</v>
      </c>
      <c r="W587" s="30" t="str">
        <f t="shared" si="283"/>
        <v xml:space="preserve"> </v>
      </c>
    </row>
    <row r="588" spans="1:23" ht="62.25" customHeight="1" x14ac:dyDescent="0.2">
      <c r="A588" s="72">
        <v>1146</v>
      </c>
      <c r="B588" s="76">
        <v>31002</v>
      </c>
      <c r="C588" s="1" t="s">
        <v>178</v>
      </c>
      <c r="D588" s="5">
        <f>SUM(E588:H588)</f>
        <v>105773</v>
      </c>
      <c r="E588" s="6">
        <v>0</v>
      </c>
      <c r="F588" s="6">
        <v>0</v>
      </c>
      <c r="G588" s="6">
        <v>0</v>
      </c>
      <c r="H588" s="7">
        <v>105773</v>
      </c>
      <c r="I588" s="5">
        <f>SUM(J588:M588)</f>
        <v>105773</v>
      </c>
      <c r="J588" s="6">
        <v>0</v>
      </c>
      <c r="K588" s="6">
        <v>0</v>
      </c>
      <c r="L588" s="6">
        <v>0</v>
      </c>
      <c r="M588" s="7">
        <v>105773</v>
      </c>
      <c r="N588" s="5">
        <f>SUM(O588:R588)</f>
        <v>104332.64</v>
      </c>
      <c r="O588" s="6">
        <v>0</v>
      </c>
      <c r="P588" s="6">
        <v>0</v>
      </c>
      <c r="Q588" s="6">
        <v>0</v>
      </c>
      <c r="R588" s="7">
        <v>104332.64</v>
      </c>
      <c r="S588" s="26">
        <f t="shared" si="280"/>
        <v>0.98638253618598315</v>
      </c>
      <c r="T588" s="27" t="str">
        <f t="shared" si="281"/>
        <v xml:space="preserve"> </v>
      </c>
      <c r="U588" s="27" t="str">
        <f t="shared" si="282"/>
        <v xml:space="preserve"> </v>
      </c>
      <c r="V588" s="27" t="str">
        <f t="shared" si="283"/>
        <v xml:space="preserve"> </v>
      </c>
      <c r="W588" s="27">
        <f t="shared" si="283"/>
        <v>0.98638253618598315</v>
      </c>
    </row>
    <row r="589" spans="1:23" ht="63" customHeight="1" x14ac:dyDescent="0.2">
      <c r="A589" s="72">
        <v>1148</v>
      </c>
      <c r="B589" s="76">
        <v>32004</v>
      </c>
      <c r="C589" s="1" t="s">
        <v>620</v>
      </c>
      <c r="D589" s="5">
        <f>SUM(E589:H589)</f>
        <v>0</v>
      </c>
      <c r="E589" s="6">
        <f>+E591+E612+E614+E616+E619+E622+E628</f>
        <v>0</v>
      </c>
      <c r="F589" s="6">
        <f>+F591+F612+F614+F616+F619+F622+F628</f>
        <v>0</v>
      </c>
      <c r="G589" s="6">
        <f>+G591+G612+G614+G616+G619+G622+G628</f>
        <v>0</v>
      </c>
      <c r="H589" s="7">
        <f>+H591+H612+H614+H616+H619+H622+H628</f>
        <v>0</v>
      </c>
      <c r="I589" s="5">
        <f>SUM(J589:M589)</f>
        <v>26940</v>
      </c>
      <c r="J589" s="6">
        <f>+J591+J612+J614+J616+J619+J622+J628</f>
        <v>0</v>
      </c>
      <c r="K589" s="6">
        <f>+K591+K612+K614+K616+K619+K622+K628</f>
        <v>0</v>
      </c>
      <c r="L589" s="6">
        <f>+L591+L612+L614+L616+L619+L622+L628</f>
        <v>0</v>
      </c>
      <c r="M589" s="7">
        <f>+M591+M612+M614+M616+M619+M622+M628</f>
        <v>26940</v>
      </c>
      <c r="N589" s="5">
        <f>SUM(O589:R589)</f>
        <v>19285.342000000001</v>
      </c>
      <c r="O589" s="6">
        <f>+O591+O612+O614+O616+O619+O622+O628</f>
        <v>0</v>
      </c>
      <c r="P589" s="6">
        <f>+P591+P612+P614+P616+P619+P622+P628</f>
        <v>0</v>
      </c>
      <c r="Q589" s="6">
        <f>+Q591+Q612+Q614+Q616+Q619+Q622+Q628</f>
        <v>0</v>
      </c>
      <c r="R589" s="7">
        <f>+R591+R612+R614+R616+R619+R622+R628</f>
        <v>19285.342000000001</v>
      </c>
      <c r="S589" s="26">
        <f t="shared" si="280"/>
        <v>0.71586273199703043</v>
      </c>
      <c r="T589" s="27" t="str">
        <f t="shared" si="281"/>
        <v xml:space="preserve"> </v>
      </c>
      <c r="U589" s="27" t="str">
        <f t="shared" si="282"/>
        <v xml:space="preserve"> </v>
      </c>
      <c r="V589" s="27" t="str">
        <f t="shared" si="283"/>
        <v xml:space="preserve"> </v>
      </c>
      <c r="W589" s="27">
        <f t="shared" si="283"/>
        <v>0.71586273199703043</v>
      </c>
    </row>
    <row r="590" spans="1:23" ht="24.75" customHeight="1" x14ac:dyDescent="0.2">
      <c r="A590" s="72"/>
      <c r="B590" s="76"/>
      <c r="C590" s="4" t="s">
        <v>10</v>
      </c>
      <c r="D590" s="5"/>
      <c r="E590" s="6"/>
      <c r="F590" s="6"/>
      <c r="G590" s="6"/>
      <c r="H590" s="7"/>
      <c r="I590" s="5"/>
      <c r="J590" s="6"/>
      <c r="K590" s="6"/>
      <c r="L590" s="6"/>
      <c r="M590" s="7"/>
      <c r="N590" s="5"/>
      <c r="O590" s="6"/>
      <c r="P590" s="6"/>
      <c r="Q590" s="6"/>
      <c r="R590" s="7"/>
      <c r="S590" s="29" t="str">
        <f t="shared" si="280"/>
        <v xml:space="preserve"> </v>
      </c>
      <c r="T590" s="30" t="str">
        <f t="shared" si="281"/>
        <v xml:space="preserve"> </v>
      </c>
      <c r="U590" s="30" t="str">
        <f t="shared" si="282"/>
        <v xml:space="preserve"> </v>
      </c>
      <c r="V590" s="30" t="str">
        <f t="shared" si="283"/>
        <v xml:space="preserve"> </v>
      </c>
      <c r="W590" s="30" t="str">
        <f t="shared" si="283"/>
        <v xml:space="preserve"> </v>
      </c>
    </row>
    <row r="591" spans="1:23" s="38" customFormat="1" ht="30" customHeight="1" x14ac:dyDescent="0.2">
      <c r="A591" s="78"/>
      <c r="B591" s="79"/>
      <c r="C591" s="54" t="s">
        <v>220</v>
      </c>
      <c r="D591" s="55">
        <f>SUM(E591:H591)</f>
        <v>0</v>
      </c>
      <c r="E591" s="56">
        <f>+E592+E593+E594++E595+E596+E597+E598+E599+E600+E601+E602+E603+E604+E605+E606+E607+E608+E609+E610+E611</f>
        <v>0</v>
      </c>
      <c r="F591" s="56">
        <f>+F592+F593+F594++F595+F596+F597+F598+F599+F600+F601+F602+F603+F604+F605+F606+F607+F608+F609+F610+F611</f>
        <v>0</v>
      </c>
      <c r="G591" s="56">
        <f>+G592+G593+G594++G595+G596+G597+G598+G599+G600+G601+G602+G603+G604+G605+G606+G607+G608+G609+G610+G611</f>
        <v>0</v>
      </c>
      <c r="H591" s="57">
        <f>+H592+H593+H594++H595+H596+H597+H598+H599+H600+H601+H602+H603+H604+H605+H606+H607+H608+H609+H610+H611</f>
        <v>0</v>
      </c>
      <c r="I591" s="55">
        <f>SUM(J591:M591)</f>
        <v>16500</v>
      </c>
      <c r="J591" s="56">
        <f>+J592+J593+J594++J595+J596+J597+J598+J599+J600+J601+J602+J603+J604+J605+J606+J607+J608+J609+J610+J611</f>
        <v>0</v>
      </c>
      <c r="K591" s="56">
        <f>+K592+K593+K594++K595+K596+K597+K598+K599+K600+K601+K602+K603+K604+K605+K606+K607+K608+K609+K610+K611</f>
        <v>0</v>
      </c>
      <c r="L591" s="56">
        <f>+L592+L593+L594++L595+L596+L597+L598+L599+L600+L601+L602+L603+L604+L605+L606+L607+L608+L609+L610+L611</f>
        <v>0</v>
      </c>
      <c r="M591" s="57">
        <f>+M592+M593+M594++M595+M596+M597+M598+M599+M600+M601+M602+M603+M604+M605+M606+M607+M608+M609+M610+M611</f>
        <v>16500</v>
      </c>
      <c r="N591" s="55">
        <f>SUM(O591:R591)</f>
        <v>11644.654000000002</v>
      </c>
      <c r="O591" s="56">
        <f>+O592+O593+O594++O595+O596+O597+O598+O599+O600+O601+O602+O603+O604+O605+O606+O607+O608+O609+O610+O611</f>
        <v>0</v>
      </c>
      <c r="P591" s="56">
        <f>+P592+P593+P594++P595+P596+P597+P598+P599+P600+P601+P602+P603+P604+P605+P606+P607+P608+P609+P610+P611</f>
        <v>0</v>
      </c>
      <c r="Q591" s="56">
        <f>+Q592+Q593+Q594++Q595+Q596+Q597+Q598+Q599+Q600+Q601+Q602+Q603+Q604+Q605+Q606+Q607+Q608+Q609+Q610+Q611</f>
        <v>0</v>
      </c>
      <c r="R591" s="57">
        <f>+R592+R593+R594++R595+R596+R597+R598+R599+R600+R601+R602+R603+R604+R605+R606+R607+R608+R609+R610+R611</f>
        <v>11644.654000000002</v>
      </c>
      <c r="S591" s="26">
        <f t="shared" si="280"/>
        <v>0.70573660606060618</v>
      </c>
      <c r="T591" s="27" t="str">
        <f t="shared" si="281"/>
        <v xml:space="preserve"> </v>
      </c>
      <c r="U591" s="27" t="str">
        <f t="shared" si="282"/>
        <v xml:space="preserve"> </v>
      </c>
      <c r="V591" s="27" t="str">
        <f t="shared" si="283"/>
        <v xml:space="preserve"> </v>
      </c>
      <c r="W591" s="27">
        <f t="shared" si="283"/>
        <v>0.70573660606060618</v>
      </c>
    </row>
    <row r="592" spans="1:23" ht="60" customHeight="1" x14ac:dyDescent="0.2">
      <c r="A592" s="74"/>
      <c r="B592" s="75"/>
      <c r="C592" s="4" t="s">
        <v>621</v>
      </c>
      <c r="D592" s="35">
        <f>SUM(E592:H592)</f>
        <v>0</v>
      </c>
      <c r="E592" s="36"/>
      <c r="F592" s="36"/>
      <c r="G592" s="36"/>
      <c r="H592" s="37">
        <v>0</v>
      </c>
      <c r="I592" s="35">
        <f>SUM(J592:M592)</f>
        <v>870</v>
      </c>
      <c r="J592" s="36"/>
      <c r="K592" s="36"/>
      <c r="L592" s="36"/>
      <c r="M592" s="37">
        <v>870</v>
      </c>
      <c r="N592" s="35">
        <f>SUM(O592:R592)</f>
        <v>636.72</v>
      </c>
      <c r="O592" s="36"/>
      <c r="P592" s="36"/>
      <c r="Q592" s="36"/>
      <c r="R592" s="37">
        <v>636.72</v>
      </c>
      <c r="S592" s="29">
        <f t="shared" si="280"/>
        <v>0.73186206896551731</v>
      </c>
      <c r="T592" s="30" t="str">
        <f t="shared" si="281"/>
        <v xml:space="preserve"> </v>
      </c>
      <c r="U592" s="30" t="str">
        <f t="shared" si="282"/>
        <v xml:space="preserve"> </v>
      </c>
      <c r="V592" s="30" t="str">
        <f t="shared" si="283"/>
        <v xml:space="preserve"> </v>
      </c>
      <c r="W592" s="30">
        <f t="shared" si="283"/>
        <v>0.73186206896551731</v>
      </c>
    </row>
    <row r="593" spans="1:23" ht="58.5" customHeight="1" x14ac:dyDescent="0.2">
      <c r="A593" s="74"/>
      <c r="B593" s="75"/>
      <c r="C593" s="4" t="s">
        <v>622</v>
      </c>
      <c r="D593" s="35">
        <f t="shared" ref="D593:D611" si="290">SUM(E593:H593)</f>
        <v>0</v>
      </c>
      <c r="E593" s="36"/>
      <c r="F593" s="36"/>
      <c r="G593" s="36"/>
      <c r="H593" s="37">
        <v>0</v>
      </c>
      <c r="I593" s="35">
        <f t="shared" ref="I593:I626" si="291">SUM(J593:M593)</f>
        <v>870</v>
      </c>
      <c r="J593" s="36"/>
      <c r="K593" s="36"/>
      <c r="L593" s="36"/>
      <c r="M593" s="37">
        <v>870</v>
      </c>
      <c r="N593" s="35">
        <f t="shared" ref="N593:N611" si="292">SUM(O593:R593)</f>
        <v>636.72400000000005</v>
      </c>
      <c r="O593" s="36"/>
      <c r="P593" s="36"/>
      <c r="Q593" s="36"/>
      <c r="R593" s="37">
        <v>636.72400000000005</v>
      </c>
      <c r="S593" s="29">
        <f t="shared" si="280"/>
        <v>0.73186666666666667</v>
      </c>
      <c r="T593" s="30" t="str">
        <f t="shared" si="281"/>
        <v xml:space="preserve"> </v>
      </c>
      <c r="U593" s="30" t="str">
        <f t="shared" si="282"/>
        <v xml:space="preserve"> </v>
      </c>
      <c r="V593" s="30" t="str">
        <f t="shared" si="283"/>
        <v xml:space="preserve"> </v>
      </c>
      <c r="W593" s="30">
        <f t="shared" si="283"/>
        <v>0.73186666666666667</v>
      </c>
    </row>
    <row r="594" spans="1:23" ht="69.75" customHeight="1" x14ac:dyDescent="0.2">
      <c r="A594" s="74"/>
      <c r="B594" s="75"/>
      <c r="C594" s="4" t="s">
        <v>623</v>
      </c>
      <c r="D594" s="35">
        <f t="shared" si="290"/>
        <v>0</v>
      </c>
      <c r="E594" s="36"/>
      <c r="F594" s="36"/>
      <c r="G594" s="36"/>
      <c r="H594" s="37">
        <v>0</v>
      </c>
      <c r="I594" s="35">
        <f t="shared" si="291"/>
        <v>870</v>
      </c>
      <c r="J594" s="36"/>
      <c r="K594" s="36"/>
      <c r="L594" s="36"/>
      <c r="M594" s="37">
        <v>870</v>
      </c>
      <c r="N594" s="35">
        <f t="shared" si="292"/>
        <v>636.72400000000005</v>
      </c>
      <c r="O594" s="36"/>
      <c r="P594" s="36"/>
      <c r="Q594" s="36"/>
      <c r="R594" s="37">
        <v>636.72400000000005</v>
      </c>
      <c r="S594" s="29">
        <f t="shared" si="280"/>
        <v>0.73186666666666667</v>
      </c>
      <c r="T594" s="30" t="str">
        <f t="shared" si="281"/>
        <v xml:space="preserve"> </v>
      </c>
      <c r="U594" s="30" t="str">
        <f t="shared" si="282"/>
        <v xml:space="preserve"> </v>
      </c>
      <c r="V594" s="30" t="str">
        <f t="shared" si="283"/>
        <v xml:space="preserve"> </v>
      </c>
      <c r="W594" s="30">
        <f t="shared" si="283"/>
        <v>0.73186666666666667</v>
      </c>
    </row>
    <row r="595" spans="1:23" ht="80.25" customHeight="1" x14ac:dyDescent="0.2">
      <c r="A595" s="74"/>
      <c r="B595" s="75"/>
      <c r="C595" s="4" t="s">
        <v>624</v>
      </c>
      <c r="D595" s="35">
        <f t="shared" si="290"/>
        <v>0</v>
      </c>
      <c r="E595" s="36"/>
      <c r="F595" s="36"/>
      <c r="G595" s="36"/>
      <c r="H595" s="37">
        <v>0</v>
      </c>
      <c r="I595" s="35">
        <f t="shared" si="291"/>
        <v>620</v>
      </c>
      <c r="J595" s="36"/>
      <c r="K595" s="36"/>
      <c r="L595" s="36"/>
      <c r="M595" s="37">
        <v>620</v>
      </c>
      <c r="N595" s="35">
        <f t="shared" si="292"/>
        <v>386.72399999999999</v>
      </c>
      <c r="O595" s="36"/>
      <c r="P595" s="36"/>
      <c r="Q595" s="36"/>
      <c r="R595" s="37">
        <v>386.72399999999999</v>
      </c>
      <c r="S595" s="29">
        <f t="shared" si="280"/>
        <v>0.62374838709677416</v>
      </c>
      <c r="T595" s="30" t="str">
        <f t="shared" si="281"/>
        <v xml:space="preserve"> </v>
      </c>
      <c r="U595" s="30" t="str">
        <f t="shared" si="282"/>
        <v xml:space="preserve"> </v>
      </c>
      <c r="V595" s="30" t="str">
        <f t="shared" si="283"/>
        <v xml:space="preserve"> </v>
      </c>
      <c r="W595" s="30">
        <f t="shared" si="283"/>
        <v>0.62374838709677416</v>
      </c>
    </row>
    <row r="596" spans="1:23" ht="63" customHeight="1" x14ac:dyDescent="0.2">
      <c r="A596" s="74"/>
      <c r="B596" s="75"/>
      <c r="C596" s="4" t="s">
        <v>625</v>
      </c>
      <c r="D596" s="35">
        <f t="shared" si="290"/>
        <v>0</v>
      </c>
      <c r="E596" s="36"/>
      <c r="F596" s="36"/>
      <c r="G596" s="36"/>
      <c r="H596" s="37">
        <v>0</v>
      </c>
      <c r="I596" s="35">
        <f t="shared" si="291"/>
        <v>1320</v>
      </c>
      <c r="J596" s="36"/>
      <c r="K596" s="36"/>
      <c r="L596" s="36"/>
      <c r="M596" s="37">
        <v>1320</v>
      </c>
      <c r="N596" s="35">
        <f t="shared" si="292"/>
        <v>1023.45</v>
      </c>
      <c r="O596" s="36"/>
      <c r="P596" s="36"/>
      <c r="Q596" s="36"/>
      <c r="R596" s="37">
        <v>1023.45</v>
      </c>
      <c r="S596" s="29">
        <f t="shared" si="280"/>
        <v>0.77534090909090914</v>
      </c>
      <c r="T596" s="30" t="str">
        <f t="shared" si="281"/>
        <v xml:space="preserve"> </v>
      </c>
      <c r="U596" s="30" t="str">
        <f t="shared" si="282"/>
        <v xml:space="preserve"> </v>
      </c>
      <c r="V596" s="30" t="str">
        <f t="shared" si="283"/>
        <v xml:space="preserve"> </v>
      </c>
      <c r="W596" s="30">
        <f t="shared" si="283"/>
        <v>0.77534090909090914</v>
      </c>
    </row>
    <row r="597" spans="1:23" ht="66.75" customHeight="1" x14ac:dyDescent="0.2">
      <c r="A597" s="74"/>
      <c r="B597" s="75"/>
      <c r="C597" s="4" t="s">
        <v>626</v>
      </c>
      <c r="D597" s="35">
        <f t="shared" si="290"/>
        <v>0</v>
      </c>
      <c r="E597" s="36"/>
      <c r="F597" s="36"/>
      <c r="G597" s="36"/>
      <c r="H597" s="37">
        <v>0</v>
      </c>
      <c r="I597" s="35">
        <f t="shared" si="291"/>
        <v>870</v>
      </c>
      <c r="J597" s="36"/>
      <c r="K597" s="36"/>
      <c r="L597" s="36"/>
      <c r="M597" s="37">
        <v>870</v>
      </c>
      <c r="N597" s="35">
        <f t="shared" si="292"/>
        <v>636.72400000000005</v>
      </c>
      <c r="O597" s="36"/>
      <c r="P597" s="36"/>
      <c r="Q597" s="36"/>
      <c r="R597" s="37">
        <v>636.72400000000005</v>
      </c>
      <c r="S597" s="29">
        <f t="shared" si="280"/>
        <v>0.73186666666666667</v>
      </c>
      <c r="T597" s="30" t="str">
        <f t="shared" si="281"/>
        <v xml:space="preserve"> </v>
      </c>
      <c r="U597" s="30" t="str">
        <f t="shared" si="282"/>
        <v xml:space="preserve"> </v>
      </c>
      <c r="V597" s="30" t="str">
        <f t="shared" si="283"/>
        <v xml:space="preserve"> </v>
      </c>
      <c r="W597" s="30">
        <f t="shared" si="283"/>
        <v>0.73186666666666667</v>
      </c>
    </row>
    <row r="598" spans="1:23" ht="63" customHeight="1" x14ac:dyDescent="0.2">
      <c r="A598" s="74"/>
      <c r="B598" s="75"/>
      <c r="C598" s="4" t="s">
        <v>627</v>
      </c>
      <c r="D598" s="35">
        <f t="shared" si="290"/>
        <v>0</v>
      </c>
      <c r="E598" s="36"/>
      <c r="F598" s="36"/>
      <c r="G598" s="36"/>
      <c r="H598" s="37">
        <v>0</v>
      </c>
      <c r="I598" s="35">
        <f t="shared" si="291"/>
        <v>1320</v>
      </c>
      <c r="J598" s="36"/>
      <c r="K598" s="36"/>
      <c r="L598" s="36"/>
      <c r="M598" s="37">
        <v>1320</v>
      </c>
      <c r="N598" s="35">
        <f t="shared" si="292"/>
        <v>1023.45</v>
      </c>
      <c r="O598" s="36"/>
      <c r="P598" s="36"/>
      <c r="Q598" s="36"/>
      <c r="R598" s="37">
        <v>1023.45</v>
      </c>
      <c r="S598" s="29">
        <f t="shared" si="280"/>
        <v>0.77534090909090914</v>
      </c>
      <c r="T598" s="30" t="str">
        <f t="shared" si="281"/>
        <v xml:space="preserve"> </v>
      </c>
      <c r="U598" s="30" t="str">
        <f t="shared" si="282"/>
        <v xml:space="preserve"> </v>
      </c>
      <c r="V598" s="30" t="str">
        <f t="shared" si="283"/>
        <v xml:space="preserve"> </v>
      </c>
      <c r="W598" s="30">
        <f t="shared" si="283"/>
        <v>0.77534090909090914</v>
      </c>
    </row>
    <row r="599" spans="1:23" ht="66.75" customHeight="1" x14ac:dyDescent="0.2">
      <c r="A599" s="74"/>
      <c r="B599" s="75"/>
      <c r="C599" s="4" t="s">
        <v>628</v>
      </c>
      <c r="D599" s="35">
        <f t="shared" si="290"/>
        <v>0</v>
      </c>
      <c r="E599" s="36"/>
      <c r="F599" s="36"/>
      <c r="G599" s="36"/>
      <c r="H599" s="37">
        <v>0</v>
      </c>
      <c r="I599" s="35">
        <f t="shared" si="291"/>
        <v>870</v>
      </c>
      <c r="J599" s="36"/>
      <c r="K599" s="36"/>
      <c r="L599" s="36"/>
      <c r="M599" s="37">
        <v>870</v>
      </c>
      <c r="N599" s="35">
        <f t="shared" si="292"/>
        <v>636.72400000000005</v>
      </c>
      <c r="O599" s="36"/>
      <c r="P599" s="36"/>
      <c r="Q599" s="36"/>
      <c r="R599" s="37">
        <v>636.72400000000005</v>
      </c>
      <c r="S599" s="29">
        <f t="shared" ref="S599:S662" si="293">IF(I599=0," ",N599/I599)</f>
        <v>0.73186666666666667</v>
      </c>
      <c r="T599" s="30" t="str">
        <f t="shared" ref="T599:T662" si="294">IF(J599=0," ",O599/J599)</f>
        <v xml:space="preserve"> </v>
      </c>
      <c r="U599" s="30" t="str">
        <f t="shared" ref="U599:U662" si="295">IF(K599=0," ",P599/K599)</f>
        <v xml:space="preserve"> </v>
      </c>
      <c r="V599" s="30" t="str">
        <f t="shared" ref="V599:W662" si="296">IF(L599=0," ",Q599/L599)</f>
        <v xml:space="preserve"> </v>
      </c>
      <c r="W599" s="30">
        <f t="shared" si="296"/>
        <v>0.73186666666666667</v>
      </c>
    </row>
    <row r="600" spans="1:23" ht="95.25" customHeight="1" x14ac:dyDescent="0.2">
      <c r="A600" s="74"/>
      <c r="B600" s="75"/>
      <c r="C600" s="4" t="s">
        <v>629</v>
      </c>
      <c r="D600" s="35">
        <f t="shared" si="290"/>
        <v>0</v>
      </c>
      <c r="E600" s="36"/>
      <c r="F600" s="36"/>
      <c r="G600" s="36"/>
      <c r="H600" s="37">
        <v>0</v>
      </c>
      <c r="I600" s="35">
        <f t="shared" si="291"/>
        <v>870</v>
      </c>
      <c r="J600" s="36"/>
      <c r="K600" s="36"/>
      <c r="L600" s="36"/>
      <c r="M600" s="37">
        <v>870</v>
      </c>
      <c r="N600" s="35">
        <f t="shared" si="292"/>
        <v>636.72400000000005</v>
      </c>
      <c r="O600" s="36"/>
      <c r="P600" s="36"/>
      <c r="Q600" s="36"/>
      <c r="R600" s="37">
        <v>636.72400000000005</v>
      </c>
      <c r="S600" s="29">
        <f t="shared" si="293"/>
        <v>0.73186666666666667</v>
      </c>
      <c r="T600" s="30" t="str">
        <f t="shared" si="294"/>
        <v xml:space="preserve"> </v>
      </c>
      <c r="U600" s="30" t="str">
        <f t="shared" si="295"/>
        <v xml:space="preserve"> </v>
      </c>
      <c r="V600" s="30" t="str">
        <f t="shared" si="296"/>
        <v xml:space="preserve"> </v>
      </c>
      <c r="W600" s="30">
        <f t="shared" si="296"/>
        <v>0.73186666666666667</v>
      </c>
    </row>
    <row r="601" spans="1:23" ht="80.25" customHeight="1" x14ac:dyDescent="0.2">
      <c r="A601" s="74"/>
      <c r="B601" s="75"/>
      <c r="C601" s="4" t="s">
        <v>630</v>
      </c>
      <c r="D601" s="35">
        <f t="shared" si="290"/>
        <v>0</v>
      </c>
      <c r="E601" s="36"/>
      <c r="F601" s="36"/>
      <c r="G601" s="36"/>
      <c r="H601" s="37">
        <v>0</v>
      </c>
      <c r="I601" s="35">
        <f t="shared" si="291"/>
        <v>870</v>
      </c>
      <c r="J601" s="36"/>
      <c r="K601" s="36"/>
      <c r="L601" s="36"/>
      <c r="M601" s="37">
        <v>870</v>
      </c>
      <c r="N601" s="35">
        <f t="shared" si="292"/>
        <v>636.72400000000005</v>
      </c>
      <c r="O601" s="36"/>
      <c r="P601" s="36"/>
      <c r="Q601" s="36"/>
      <c r="R601" s="37">
        <v>636.72400000000005</v>
      </c>
      <c r="S601" s="29">
        <f t="shared" si="293"/>
        <v>0.73186666666666667</v>
      </c>
      <c r="T601" s="30" t="str">
        <f t="shared" si="294"/>
        <v xml:space="preserve"> </v>
      </c>
      <c r="U601" s="30" t="str">
        <f t="shared" si="295"/>
        <v xml:space="preserve"> </v>
      </c>
      <c r="V601" s="30" t="str">
        <f t="shared" si="296"/>
        <v xml:space="preserve"> </v>
      </c>
      <c r="W601" s="30">
        <f t="shared" si="296"/>
        <v>0.73186666666666667</v>
      </c>
    </row>
    <row r="602" spans="1:23" ht="64.5" customHeight="1" x14ac:dyDescent="0.2">
      <c r="A602" s="74"/>
      <c r="B602" s="75"/>
      <c r="C602" s="4" t="s">
        <v>631</v>
      </c>
      <c r="D602" s="35">
        <f t="shared" si="290"/>
        <v>0</v>
      </c>
      <c r="E602" s="36"/>
      <c r="F602" s="36"/>
      <c r="G602" s="36"/>
      <c r="H602" s="37">
        <v>0</v>
      </c>
      <c r="I602" s="35">
        <f t="shared" si="291"/>
        <v>870</v>
      </c>
      <c r="J602" s="36"/>
      <c r="K602" s="36"/>
      <c r="L602" s="36"/>
      <c r="M602" s="37">
        <v>870</v>
      </c>
      <c r="N602" s="35">
        <f t="shared" si="292"/>
        <v>636.72400000000005</v>
      </c>
      <c r="O602" s="36"/>
      <c r="P602" s="36"/>
      <c r="Q602" s="36"/>
      <c r="R602" s="37">
        <v>636.72400000000005</v>
      </c>
      <c r="S602" s="29">
        <f t="shared" si="293"/>
        <v>0.73186666666666667</v>
      </c>
      <c r="T602" s="30" t="str">
        <f t="shared" si="294"/>
        <v xml:space="preserve"> </v>
      </c>
      <c r="U602" s="30" t="str">
        <f t="shared" si="295"/>
        <v xml:space="preserve"> </v>
      </c>
      <c r="V602" s="30" t="str">
        <f t="shared" si="296"/>
        <v xml:space="preserve"> </v>
      </c>
      <c r="W602" s="30">
        <f t="shared" si="296"/>
        <v>0.73186666666666667</v>
      </c>
    </row>
    <row r="603" spans="1:23" ht="50.25" customHeight="1" x14ac:dyDescent="0.2">
      <c r="A603" s="74"/>
      <c r="B603" s="75"/>
      <c r="C603" s="4" t="s">
        <v>632</v>
      </c>
      <c r="D603" s="35">
        <f t="shared" si="290"/>
        <v>0</v>
      </c>
      <c r="E603" s="36"/>
      <c r="F603" s="36"/>
      <c r="G603" s="36"/>
      <c r="H603" s="37">
        <v>0</v>
      </c>
      <c r="I603" s="35">
        <f t="shared" si="291"/>
        <v>1320</v>
      </c>
      <c r="J603" s="36"/>
      <c r="K603" s="36"/>
      <c r="L603" s="36"/>
      <c r="M603" s="37">
        <v>1320</v>
      </c>
      <c r="N603" s="35">
        <f t="shared" si="292"/>
        <v>1023.45</v>
      </c>
      <c r="O603" s="36"/>
      <c r="P603" s="36"/>
      <c r="Q603" s="36"/>
      <c r="R603" s="37">
        <v>1023.45</v>
      </c>
      <c r="S603" s="29">
        <f t="shared" si="293"/>
        <v>0.77534090909090914</v>
      </c>
      <c r="T603" s="30" t="str">
        <f t="shared" si="294"/>
        <v xml:space="preserve"> </v>
      </c>
      <c r="U603" s="30" t="str">
        <f t="shared" si="295"/>
        <v xml:space="preserve"> </v>
      </c>
      <c r="V603" s="30" t="str">
        <f t="shared" si="296"/>
        <v xml:space="preserve"> </v>
      </c>
      <c r="W603" s="30">
        <f t="shared" si="296"/>
        <v>0.77534090909090914</v>
      </c>
    </row>
    <row r="604" spans="1:23" ht="47.25" customHeight="1" x14ac:dyDescent="0.2">
      <c r="A604" s="74"/>
      <c r="B604" s="75"/>
      <c r="C604" s="4" t="s">
        <v>633</v>
      </c>
      <c r="D604" s="35">
        <f t="shared" si="290"/>
        <v>0</v>
      </c>
      <c r="E604" s="36"/>
      <c r="F604" s="36"/>
      <c r="G604" s="36"/>
      <c r="H604" s="37">
        <v>0</v>
      </c>
      <c r="I604" s="35">
        <f t="shared" si="291"/>
        <v>620</v>
      </c>
      <c r="J604" s="36"/>
      <c r="K604" s="36"/>
      <c r="L604" s="36"/>
      <c r="M604" s="37">
        <v>620</v>
      </c>
      <c r="N604" s="35">
        <f t="shared" si="292"/>
        <v>386.72399999999999</v>
      </c>
      <c r="O604" s="36"/>
      <c r="P604" s="36"/>
      <c r="Q604" s="36"/>
      <c r="R604" s="37">
        <v>386.72399999999999</v>
      </c>
      <c r="S604" s="29">
        <f t="shared" si="293"/>
        <v>0.62374838709677416</v>
      </c>
      <c r="T604" s="30" t="str">
        <f t="shared" si="294"/>
        <v xml:space="preserve"> </v>
      </c>
      <c r="U604" s="30" t="str">
        <f t="shared" si="295"/>
        <v xml:space="preserve"> </v>
      </c>
      <c r="V604" s="30" t="str">
        <f t="shared" si="296"/>
        <v xml:space="preserve"> </v>
      </c>
      <c r="W604" s="30">
        <f t="shared" si="296"/>
        <v>0.62374838709677416</v>
      </c>
    </row>
    <row r="605" spans="1:23" ht="60" customHeight="1" x14ac:dyDescent="0.2">
      <c r="A605" s="74"/>
      <c r="B605" s="75"/>
      <c r="C605" s="4" t="s">
        <v>634</v>
      </c>
      <c r="D605" s="35">
        <f t="shared" si="290"/>
        <v>0</v>
      </c>
      <c r="E605" s="36"/>
      <c r="F605" s="36"/>
      <c r="G605" s="36"/>
      <c r="H605" s="37">
        <v>0</v>
      </c>
      <c r="I605" s="35">
        <f t="shared" si="291"/>
        <v>620</v>
      </c>
      <c r="J605" s="36"/>
      <c r="K605" s="36"/>
      <c r="L605" s="36"/>
      <c r="M605" s="37">
        <v>620</v>
      </c>
      <c r="N605" s="35">
        <f t="shared" si="292"/>
        <v>386.72399999999999</v>
      </c>
      <c r="O605" s="36"/>
      <c r="P605" s="36"/>
      <c r="Q605" s="36"/>
      <c r="R605" s="37">
        <v>386.72399999999999</v>
      </c>
      <c r="S605" s="29">
        <f t="shared" si="293"/>
        <v>0.62374838709677416</v>
      </c>
      <c r="T605" s="30" t="str">
        <f t="shared" si="294"/>
        <v xml:space="preserve"> </v>
      </c>
      <c r="U605" s="30" t="str">
        <f t="shared" si="295"/>
        <v xml:space="preserve"> </v>
      </c>
      <c r="V605" s="30" t="str">
        <f t="shared" si="296"/>
        <v xml:space="preserve"> </v>
      </c>
      <c r="W605" s="30">
        <f t="shared" si="296"/>
        <v>0.62374838709677416</v>
      </c>
    </row>
    <row r="606" spans="1:23" ht="45.75" customHeight="1" x14ac:dyDescent="0.2">
      <c r="A606" s="74"/>
      <c r="B606" s="75"/>
      <c r="C606" s="4" t="s">
        <v>635</v>
      </c>
      <c r="D606" s="35">
        <f t="shared" si="290"/>
        <v>0</v>
      </c>
      <c r="E606" s="36"/>
      <c r="F606" s="36"/>
      <c r="G606" s="36"/>
      <c r="H606" s="37">
        <v>0</v>
      </c>
      <c r="I606" s="35">
        <f t="shared" si="291"/>
        <v>620</v>
      </c>
      <c r="J606" s="36"/>
      <c r="K606" s="36"/>
      <c r="L606" s="36"/>
      <c r="M606" s="37">
        <v>620</v>
      </c>
      <c r="N606" s="35">
        <f t="shared" si="292"/>
        <v>386.72399999999999</v>
      </c>
      <c r="O606" s="36"/>
      <c r="P606" s="36"/>
      <c r="Q606" s="36"/>
      <c r="R606" s="37">
        <v>386.72399999999999</v>
      </c>
      <c r="S606" s="29">
        <f t="shared" si="293"/>
        <v>0.62374838709677416</v>
      </c>
      <c r="T606" s="30" t="str">
        <f t="shared" si="294"/>
        <v xml:space="preserve"> </v>
      </c>
      <c r="U606" s="30" t="str">
        <f t="shared" si="295"/>
        <v xml:space="preserve"> </v>
      </c>
      <c r="V606" s="30" t="str">
        <f t="shared" si="296"/>
        <v xml:space="preserve"> </v>
      </c>
      <c r="W606" s="30">
        <f t="shared" si="296"/>
        <v>0.62374838709677416</v>
      </c>
    </row>
    <row r="607" spans="1:23" ht="45.75" customHeight="1" x14ac:dyDescent="0.2">
      <c r="A607" s="74"/>
      <c r="B607" s="75"/>
      <c r="C607" s="4" t="s">
        <v>636</v>
      </c>
      <c r="D607" s="35">
        <f t="shared" si="290"/>
        <v>0</v>
      </c>
      <c r="E607" s="36"/>
      <c r="F607" s="36"/>
      <c r="G607" s="36"/>
      <c r="H607" s="37">
        <v>0</v>
      </c>
      <c r="I607" s="35">
        <f t="shared" si="291"/>
        <v>620</v>
      </c>
      <c r="J607" s="36"/>
      <c r="K607" s="36"/>
      <c r="L607" s="36"/>
      <c r="M607" s="37">
        <v>620</v>
      </c>
      <c r="N607" s="35">
        <f t="shared" si="292"/>
        <v>386.72399999999999</v>
      </c>
      <c r="O607" s="36"/>
      <c r="P607" s="36"/>
      <c r="Q607" s="36"/>
      <c r="R607" s="37">
        <v>386.72399999999999</v>
      </c>
      <c r="S607" s="29">
        <f t="shared" si="293"/>
        <v>0.62374838709677416</v>
      </c>
      <c r="T607" s="30" t="str">
        <f t="shared" si="294"/>
        <v xml:space="preserve"> </v>
      </c>
      <c r="U607" s="30" t="str">
        <f t="shared" si="295"/>
        <v xml:space="preserve"> </v>
      </c>
      <c r="V607" s="30" t="str">
        <f t="shared" si="296"/>
        <v xml:space="preserve"> </v>
      </c>
      <c r="W607" s="30">
        <f t="shared" si="296"/>
        <v>0.62374838709677416</v>
      </c>
    </row>
    <row r="608" spans="1:23" ht="48.75" customHeight="1" x14ac:dyDescent="0.2">
      <c r="A608" s="74"/>
      <c r="B608" s="75"/>
      <c r="C608" s="4" t="s">
        <v>637</v>
      </c>
      <c r="D608" s="35">
        <f t="shared" si="290"/>
        <v>0</v>
      </c>
      <c r="E608" s="36"/>
      <c r="F608" s="36"/>
      <c r="G608" s="36"/>
      <c r="H608" s="37">
        <v>0</v>
      </c>
      <c r="I608" s="35">
        <f t="shared" si="291"/>
        <v>620</v>
      </c>
      <c r="J608" s="36"/>
      <c r="K608" s="36"/>
      <c r="L608" s="36"/>
      <c r="M608" s="37">
        <v>620</v>
      </c>
      <c r="N608" s="35">
        <f t="shared" si="292"/>
        <v>386.72399999999999</v>
      </c>
      <c r="O608" s="36"/>
      <c r="P608" s="36"/>
      <c r="Q608" s="36"/>
      <c r="R608" s="37">
        <v>386.72399999999999</v>
      </c>
      <c r="S608" s="29">
        <f t="shared" si="293"/>
        <v>0.62374838709677416</v>
      </c>
      <c r="T608" s="30" t="str">
        <f t="shared" si="294"/>
        <v xml:space="preserve"> </v>
      </c>
      <c r="U608" s="30" t="str">
        <f t="shared" si="295"/>
        <v xml:space="preserve"> </v>
      </c>
      <c r="V608" s="30" t="str">
        <f t="shared" si="296"/>
        <v xml:space="preserve"> </v>
      </c>
      <c r="W608" s="30">
        <f t="shared" si="296"/>
        <v>0.62374838709677416</v>
      </c>
    </row>
    <row r="609" spans="1:23" ht="47.25" customHeight="1" x14ac:dyDescent="0.2">
      <c r="A609" s="74"/>
      <c r="B609" s="75"/>
      <c r="C609" s="4" t="s">
        <v>638</v>
      </c>
      <c r="D609" s="35">
        <f t="shared" si="290"/>
        <v>0</v>
      </c>
      <c r="E609" s="36"/>
      <c r="F609" s="36"/>
      <c r="G609" s="36"/>
      <c r="H609" s="37">
        <v>0</v>
      </c>
      <c r="I609" s="35">
        <f t="shared" si="291"/>
        <v>620</v>
      </c>
      <c r="J609" s="36"/>
      <c r="K609" s="36"/>
      <c r="L609" s="36"/>
      <c r="M609" s="37">
        <v>620</v>
      </c>
      <c r="N609" s="35">
        <f t="shared" si="292"/>
        <v>386.72399999999999</v>
      </c>
      <c r="O609" s="36"/>
      <c r="P609" s="36"/>
      <c r="Q609" s="36"/>
      <c r="R609" s="37">
        <v>386.72399999999999</v>
      </c>
      <c r="S609" s="29">
        <f t="shared" si="293"/>
        <v>0.62374838709677416</v>
      </c>
      <c r="T609" s="30" t="str">
        <f t="shared" si="294"/>
        <v xml:space="preserve"> </v>
      </c>
      <c r="U609" s="30" t="str">
        <f t="shared" si="295"/>
        <v xml:space="preserve"> </v>
      </c>
      <c r="V609" s="30" t="str">
        <f t="shared" si="296"/>
        <v xml:space="preserve"> </v>
      </c>
      <c r="W609" s="30">
        <f t="shared" si="296"/>
        <v>0.62374838709677416</v>
      </c>
    </row>
    <row r="610" spans="1:23" ht="69.75" customHeight="1" x14ac:dyDescent="0.2">
      <c r="A610" s="74"/>
      <c r="B610" s="75"/>
      <c r="C610" s="4" t="s">
        <v>639</v>
      </c>
      <c r="D610" s="35">
        <f t="shared" si="290"/>
        <v>0</v>
      </c>
      <c r="E610" s="36"/>
      <c r="F610" s="36"/>
      <c r="G610" s="36"/>
      <c r="H610" s="37">
        <v>0</v>
      </c>
      <c r="I610" s="35">
        <f t="shared" si="291"/>
        <v>620</v>
      </c>
      <c r="J610" s="36"/>
      <c r="K610" s="36"/>
      <c r="L610" s="36"/>
      <c r="M610" s="37">
        <v>620</v>
      </c>
      <c r="N610" s="35">
        <f t="shared" si="292"/>
        <v>386.72399999999999</v>
      </c>
      <c r="O610" s="36"/>
      <c r="P610" s="36"/>
      <c r="Q610" s="36"/>
      <c r="R610" s="37">
        <v>386.72399999999999</v>
      </c>
      <c r="S610" s="29">
        <f t="shared" si="293"/>
        <v>0.62374838709677416</v>
      </c>
      <c r="T610" s="30" t="str">
        <f t="shared" si="294"/>
        <v xml:space="preserve"> </v>
      </c>
      <c r="U610" s="30" t="str">
        <f t="shared" si="295"/>
        <v xml:space="preserve"> </v>
      </c>
      <c r="V610" s="30" t="str">
        <f t="shared" si="296"/>
        <v xml:space="preserve"> </v>
      </c>
      <c r="W610" s="30">
        <f t="shared" si="296"/>
        <v>0.62374838709677416</v>
      </c>
    </row>
    <row r="611" spans="1:23" ht="48" customHeight="1" x14ac:dyDescent="0.2">
      <c r="A611" s="74"/>
      <c r="B611" s="75"/>
      <c r="C611" s="4" t="s">
        <v>640</v>
      </c>
      <c r="D611" s="35">
        <f t="shared" si="290"/>
        <v>0</v>
      </c>
      <c r="E611" s="36"/>
      <c r="F611" s="36"/>
      <c r="G611" s="36"/>
      <c r="H611" s="37">
        <v>0</v>
      </c>
      <c r="I611" s="35">
        <f t="shared" si="291"/>
        <v>620</v>
      </c>
      <c r="J611" s="36"/>
      <c r="K611" s="36"/>
      <c r="L611" s="36"/>
      <c r="M611" s="37">
        <v>620</v>
      </c>
      <c r="N611" s="35">
        <f t="shared" si="292"/>
        <v>386.72399999999999</v>
      </c>
      <c r="O611" s="36"/>
      <c r="P611" s="36"/>
      <c r="Q611" s="36"/>
      <c r="R611" s="37">
        <v>386.72399999999999</v>
      </c>
      <c r="S611" s="29">
        <f t="shared" si="293"/>
        <v>0.62374838709677416</v>
      </c>
      <c r="T611" s="30" t="str">
        <f t="shared" si="294"/>
        <v xml:space="preserve"> </v>
      </c>
      <c r="U611" s="30" t="str">
        <f t="shared" si="295"/>
        <v xml:space="preserve"> </v>
      </c>
      <c r="V611" s="30" t="str">
        <f t="shared" si="296"/>
        <v xml:space="preserve"> </v>
      </c>
      <c r="W611" s="30">
        <f t="shared" si="296"/>
        <v>0.62374838709677416</v>
      </c>
    </row>
    <row r="612" spans="1:23" s="38" customFormat="1" ht="35.25" customHeight="1" x14ac:dyDescent="0.2">
      <c r="A612" s="78"/>
      <c r="B612" s="79"/>
      <c r="C612" s="54" t="s">
        <v>130</v>
      </c>
      <c r="D612" s="55">
        <f t="shared" ref="D612:D630" si="297">SUM(E612:H612)</f>
        <v>0</v>
      </c>
      <c r="E612" s="56">
        <f>+E613</f>
        <v>0</v>
      </c>
      <c r="F612" s="56">
        <f>+F613</f>
        <v>0</v>
      </c>
      <c r="G612" s="56">
        <f>+G613</f>
        <v>0</v>
      </c>
      <c r="H612" s="57">
        <f>+H613</f>
        <v>0</v>
      </c>
      <c r="I612" s="55">
        <f t="shared" si="291"/>
        <v>870</v>
      </c>
      <c r="J612" s="56">
        <f>+J613</f>
        <v>0</v>
      </c>
      <c r="K612" s="56">
        <f>+K613</f>
        <v>0</v>
      </c>
      <c r="L612" s="56">
        <f>+L613</f>
        <v>0</v>
      </c>
      <c r="M612" s="57">
        <f>+M613</f>
        <v>870</v>
      </c>
      <c r="N612" s="55">
        <f t="shared" ref="N612:N630" si="298">SUM(O612:R612)</f>
        <v>636.72400000000005</v>
      </c>
      <c r="O612" s="56">
        <f>+O613</f>
        <v>0</v>
      </c>
      <c r="P612" s="56">
        <f>+P613</f>
        <v>0</v>
      </c>
      <c r="Q612" s="56">
        <f>+Q613</f>
        <v>0</v>
      </c>
      <c r="R612" s="57">
        <f>+R613</f>
        <v>636.72400000000005</v>
      </c>
      <c r="S612" s="26">
        <f t="shared" si="293"/>
        <v>0.73186666666666667</v>
      </c>
      <c r="T612" s="27" t="str">
        <f t="shared" si="294"/>
        <v xml:space="preserve"> </v>
      </c>
      <c r="U612" s="27" t="str">
        <f t="shared" si="295"/>
        <v xml:space="preserve"> </v>
      </c>
      <c r="V612" s="27" t="str">
        <f t="shared" si="296"/>
        <v xml:space="preserve"> </v>
      </c>
      <c r="W612" s="27">
        <f t="shared" si="296"/>
        <v>0.73186666666666667</v>
      </c>
    </row>
    <row r="613" spans="1:23" ht="57.75" customHeight="1" x14ac:dyDescent="0.2">
      <c r="A613" s="74"/>
      <c r="B613" s="75"/>
      <c r="C613" s="4" t="s">
        <v>641</v>
      </c>
      <c r="D613" s="35">
        <f t="shared" si="297"/>
        <v>0</v>
      </c>
      <c r="E613" s="36"/>
      <c r="F613" s="36"/>
      <c r="G613" s="36"/>
      <c r="H613" s="37">
        <v>0</v>
      </c>
      <c r="I613" s="35">
        <f t="shared" si="291"/>
        <v>870</v>
      </c>
      <c r="J613" s="36"/>
      <c r="K613" s="36"/>
      <c r="L613" s="36"/>
      <c r="M613" s="37">
        <v>870</v>
      </c>
      <c r="N613" s="35">
        <f t="shared" si="298"/>
        <v>636.72400000000005</v>
      </c>
      <c r="O613" s="36"/>
      <c r="P613" s="36"/>
      <c r="Q613" s="36"/>
      <c r="R613" s="37">
        <v>636.72400000000005</v>
      </c>
      <c r="S613" s="29">
        <f t="shared" si="293"/>
        <v>0.73186666666666667</v>
      </c>
      <c r="T613" s="30" t="str">
        <f t="shared" si="294"/>
        <v xml:space="preserve"> </v>
      </c>
      <c r="U613" s="30" t="str">
        <f t="shared" si="295"/>
        <v xml:space="preserve"> </v>
      </c>
      <c r="V613" s="30" t="str">
        <f t="shared" si="296"/>
        <v xml:space="preserve"> </v>
      </c>
      <c r="W613" s="30">
        <f t="shared" si="296"/>
        <v>0.73186666666666667</v>
      </c>
    </row>
    <row r="614" spans="1:23" s="38" customFormat="1" ht="33.75" customHeight="1" x14ac:dyDescent="0.2">
      <c r="A614" s="78"/>
      <c r="B614" s="79"/>
      <c r="C614" s="54" t="s">
        <v>594</v>
      </c>
      <c r="D614" s="55">
        <f t="shared" si="297"/>
        <v>0</v>
      </c>
      <c r="E614" s="56">
        <f>+E615</f>
        <v>0</v>
      </c>
      <c r="F614" s="56">
        <f>+F615</f>
        <v>0</v>
      </c>
      <c r="G614" s="56">
        <f>+G615</f>
        <v>0</v>
      </c>
      <c r="H614" s="57">
        <f>+H615</f>
        <v>0</v>
      </c>
      <c r="I614" s="55">
        <f t="shared" si="291"/>
        <v>870</v>
      </c>
      <c r="J614" s="56">
        <f>+J615</f>
        <v>0</v>
      </c>
      <c r="K614" s="56">
        <f>+K615</f>
        <v>0</v>
      </c>
      <c r="L614" s="56">
        <f>+L615</f>
        <v>0</v>
      </c>
      <c r="M614" s="57">
        <f>+M615</f>
        <v>870</v>
      </c>
      <c r="N614" s="55">
        <f t="shared" si="298"/>
        <v>636.72400000000005</v>
      </c>
      <c r="O614" s="56">
        <f>+O615</f>
        <v>0</v>
      </c>
      <c r="P614" s="56">
        <f>+P615</f>
        <v>0</v>
      </c>
      <c r="Q614" s="56">
        <f>+Q615</f>
        <v>0</v>
      </c>
      <c r="R614" s="57">
        <f>+R615</f>
        <v>636.72400000000005</v>
      </c>
      <c r="S614" s="26">
        <f t="shared" si="293"/>
        <v>0.73186666666666667</v>
      </c>
      <c r="T614" s="27" t="str">
        <f t="shared" si="294"/>
        <v xml:space="preserve"> </v>
      </c>
      <c r="U614" s="27" t="str">
        <f t="shared" si="295"/>
        <v xml:space="preserve"> </v>
      </c>
      <c r="V614" s="27" t="str">
        <f t="shared" si="296"/>
        <v xml:space="preserve"> </v>
      </c>
      <c r="W614" s="27">
        <f t="shared" si="296"/>
        <v>0.73186666666666667</v>
      </c>
    </row>
    <row r="615" spans="1:23" ht="62.25" customHeight="1" x14ac:dyDescent="0.2">
      <c r="A615" s="74"/>
      <c r="B615" s="75"/>
      <c r="C615" s="4" t="s">
        <v>642</v>
      </c>
      <c r="D615" s="35">
        <f t="shared" si="297"/>
        <v>0</v>
      </c>
      <c r="E615" s="36"/>
      <c r="F615" s="36"/>
      <c r="G615" s="36"/>
      <c r="H615" s="37">
        <v>0</v>
      </c>
      <c r="I615" s="35">
        <f t="shared" si="291"/>
        <v>870</v>
      </c>
      <c r="J615" s="36"/>
      <c r="K615" s="36"/>
      <c r="L615" s="36"/>
      <c r="M615" s="37">
        <v>870</v>
      </c>
      <c r="N615" s="35">
        <f t="shared" si="298"/>
        <v>636.72400000000005</v>
      </c>
      <c r="O615" s="36"/>
      <c r="P615" s="36"/>
      <c r="Q615" s="36"/>
      <c r="R615" s="37">
        <v>636.72400000000005</v>
      </c>
      <c r="S615" s="29">
        <f t="shared" si="293"/>
        <v>0.73186666666666667</v>
      </c>
      <c r="T615" s="30" t="str">
        <f t="shared" si="294"/>
        <v xml:space="preserve"> </v>
      </c>
      <c r="U615" s="30" t="str">
        <f t="shared" si="295"/>
        <v xml:space="preserve"> </v>
      </c>
      <c r="V615" s="30" t="str">
        <f t="shared" si="296"/>
        <v xml:space="preserve"> </v>
      </c>
      <c r="W615" s="30">
        <f t="shared" si="296"/>
        <v>0.73186666666666667</v>
      </c>
    </row>
    <row r="616" spans="1:23" s="38" customFormat="1" ht="34.5" customHeight="1" x14ac:dyDescent="0.2">
      <c r="A616" s="78"/>
      <c r="B616" s="79"/>
      <c r="C616" s="54" t="s">
        <v>131</v>
      </c>
      <c r="D616" s="55">
        <f t="shared" si="297"/>
        <v>0</v>
      </c>
      <c r="E616" s="56">
        <f>+E617+E618</f>
        <v>0</v>
      </c>
      <c r="F616" s="56">
        <f>+F617+F618</f>
        <v>0</v>
      </c>
      <c r="G616" s="56">
        <f>+G617+G618</f>
        <v>0</v>
      </c>
      <c r="H616" s="57">
        <f>+H617+H618</f>
        <v>0</v>
      </c>
      <c r="I616" s="55">
        <f t="shared" si="291"/>
        <v>1740</v>
      </c>
      <c r="J616" s="56">
        <f>+J617+J618</f>
        <v>0</v>
      </c>
      <c r="K616" s="56">
        <f>+K617+K618</f>
        <v>0</v>
      </c>
      <c r="L616" s="56">
        <f>+L617+L618</f>
        <v>0</v>
      </c>
      <c r="M616" s="57">
        <f>+M617+M618</f>
        <v>1740</v>
      </c>
      <c r="N616" s="55">
        <f t="shared" si="298"/>
        <v>1273.4480000000001</v>
      </c>
      <c r="O616" s="56">
        <f>+O617+O618</f>
        <v>0</v>
      </c>
      <c r="P616" s="56">
        <f>+P617+P618</f>
        <v>0</v>
      </c>
      <c r="Q616" s="56">
        <f>+Q617+Q618</f>
        <v>0</v>
      </c>
      <c r="R616" s="57">
        <f>+R617+R618</f>
        <v>1273.4480000000001</v>
      </c>
      <c r="S616" s="26">
        <f t="shared" si="293"/>
        <v>0.73186666666666667</v>
      </c>
      <c r="T616" s="27" t="str">
        <f t="shared" si="294"/>
        <v xml:space="preserve"> </v>
      </c>
      <c r="U616" s="27" t="str">
        <f t="shared" si="295"/>
        <v xml:space="preserve"> </v>
      </c>
      <c r="V616" s="27" t="str">
        <f t="shared" si="296"/>
        <v xml:space="preserve"> </v>
      </c>
      <c r="W616" s="27">
        <f t="shared" si="296"/>
        <v>0.73186666666666667</v>
      </c>
    </row>
    <row r="617" spans="1:23" ht="59.25" customHeight="1" x14ac:dyDescent="0.2">
      <c r="A617" s="74"/>
      <c r="B617" s="75"/>
      <c r="C617" s="4" t="s">
        <v>643</v>
      </c>
      <c r="D617" s="35">
        <f t="shared" si="297"/>
        <v>0</v>
      </c>
      <c r="E617" s="36"/>
      <c r="F617" s="36"/>
      <c r="G617" s="36"/>
      <c r="H617" s="37">
        <v>0</v>
      </c>
      <c r="I617" s="35">
        <f t="shared" si="291"/>
        <v>870</v>
      </c>
      <c r="J617" s="36"/>
      <c r="K617" s="36"/>
      <c r="L617" s="36"/>
      <c r="M617" s="37">
        <v>870</v>
      </c>
      <c r="N617" s="35">
        <f t="shared" si="298"/>
        <v>636.72400000000005</v>
      </c>
      <c r="O617" s="36"/>
      <c r="P617" s="36"/>
      <c r="Q617" s="36"/>
      <c r="R617" s="37">
        <v>636.72400000000005</v>
      </c>
      <c r="S617" s="29">
        <f t="shared" si="293"/>
        <v>0.73186666666666667</v>
      </c>
      <c r="T617" s="30" t="str">
        <f t="shared" si="294"/>
        <v xml:space="preserve"> </v>
      </c>
      <c r="U617" s="30" t="str">
        <f t="shared" si="295"/>
        <v xml:space="preserve"> </v>
      </c>
      <c r="V617" s="30" t="str">
        <f t="shared" si="296"/>
        <v xml:space="preserve"> </v>
      </c>
      <c r="W617" s="30">
        <f t="shared" si="296"/>
        <v>0.73186666666666667</v>
      </c>
    </row>
    <row r="618" spans="1:23" ht="41.25" customHeight="1" x14ac:dyDescent="0.2">
      <c r="A618" s="74"/>
      <c r="B618" s="75"/>
      <c r="C618" s="4" t="s">
        <v>644</v>
      </c>
      <c r="D618" s="35">
        <f t="shared" si="297"/>
        <v>0</v>
      </c>
      <c r="E618" s="36"/>
      <c r="F618" s="36"/>
      <c r="G618" s="36"/>
      <c r="H618" s="37">
        <v>0</v>
      </c>
      <c r="I618" s="35">
        <f t="shared" si="291"/>
        <v>870</v>
      </c>
      <c r="J618" s="36"/>
      <c r="K618" s="36"/>
      <c r="L618" s="36"/>
      <c r="M618" s="37">
        <v>870</v>
      </c>
      <c r="N618" s="35">
        <f t="shared" si="298"/>
        <v>636.72400000000005</v>
      </c>
      <c r="O618" s="36"/>
      <c r="P618" s="36"/>
      <c r="Q618" s="36"/>
      <c r="R618" s="37">
        <v>636.72400000000005</v>
      </c>
      <c r="S618" s="29">
        <f t="shared" si="293"/>
        <v>0.73186666666666667</v>
      </c>
      <c r="T618" s="30" t="str">
        <f t="shared" si="294"/>
        <v xml:space="preserve"> </v>
      </c>
      <c r="U618" s="30" t="str">
        <f t="shared" si="295"/>
        <v xml:space="preserve"> </v>
      </c>
      <c r="V618" s="30" t="str">
        <f t="shared" si="296"/>
        <v xml:space="preserve"> </v>
      </c>
      <c r="W618" s="30">
        <f t="shared" si="296"/>
        <v>0.73186666666666667</v>
      </c>
    </row>
    <row r="619" spans="1:23" s="38" customFormat="1" ht="34.5" customHeight="1" x14ac:dyDescent="0.2">
      <c r="A619" s="78"/>
      <c r="B619" s="79"/>
      <c r="C619" s="54" t="s">
        <v>230</v>
      </c>
      <c r="D619" s="55">
        <f t="shared" si="297"/>
        <v>0</v>
      </c>
      <c r="E619" s="56">
        <f>+E620+E621</f>
        <v>0</v>
      </c>
      <c r="F619" s="56">
        <f>+F620+F621</f>
        <v>0</v>
      </c>
      <c r="G619" s="56">
        <f>+G620+G621</f>
        <v>0</v>
      </c>
      <c r="H619" s="57">
        <f>+H620+H621</f>
        <v>0</v>
      </c>
      <c r="I619" s="55">
        <f t="shared" si="291"/>
        <v>1740</v>
      </c>
      <c r="J619" s="56">
        <f>+J620+J621</f>
        <v>0</v>
      </c>
      <c r="K619" s="56">
        <f>+K620+K621</f>
        <v>0</v>
      </c>
      <c r="L619" s="56">
        <f>+L620+L621</f>
        <v>0</v>
      </c>
      <c r="M619" s="57">
        <f>+M620+M621</f>
        <v>1740</v>
      </c>
      <c r="N619" s="55">
        <f t="shared" si="298"/>
        <v>1273.4480000000001</v>
      </c>
      <c r="O619" s="56">
        <f>+O620+O621</f>
        <v>0</v>
      </c>
      <c r="P619" s="56">
        <f>+P620+P621</f>
        <v>0</v>
      </c>
      <c r="Q619" s="56">
        <f>+Q620+Q621</f>
        <v>0</v>
      </c>
      <c r="R619" s="57">
        <f>+R620+R621</f>
        <v>1273.4480000000001</v>
      </c>
      <c r="S619" s="26">
        <f t="shared" si="293"/>
        <v>0.73186666666666667</v>
      </c>
      <c r="T619" s="27" t="str">
        <f t="shared" si="294"/>
        <v xml:space="preserve"> </v>
      </c>
      <c r="U619" s="27" t="str">
        <f t="shared" si="295"/>
        <v xml:space="preserve"> </v>
      </c>
      <c r="V619" s="27" t="str">
        <f t="shared" si="296"/>
        <v xml:space="preserve"> </v>
      </c>
      <c r="W619" s="27">
        <f t="shared" si="296"/>
        <v>0.73186666666666667</v>
      </c>
    </row>
    <row r="620" spans="1:23" ht="81" customHeight="1" x14ac:dyDescent="0.2">
      <c r="A620" s="74"/>
      <c r="B620" s="75"/>
      <c r="C620" s="4" t="s">
        <v>645</v>
      </c>
      <c r="D620" s="35">
        <f t="shared" si="297"/>
        <v>0</v>
      </c>
      <c r="E620" s="36"/>
      <c r="F620" s="36"/>
      <c r="G620" s="36"/>
      <c r="H620" s="37">
        <v>0</v>
      </c>
      <c r="I620" s="35">
        <f t="shared" si="291"/>
        <v>870</v>
      </c>
      <c r="J620" s="36"/>
      <c r="K620" s="36"/>
      <c r="L620" s="36"/>
      <c r="M620" s="37">
        <v>870</v>
      </c>
      <c r="N620" s="35">
        <f t="shared" si="298"/>
        <v>636.72400000000005</v>
      </c>
      <c r="O620" s="36"/>
      <c r="P620" s="36"/>
      <c r="Q620" s="36"/>
      <c r="R620" s="37">
        <v>636.72400000000005</v>
      </c>
      <c r="S620" s="29">
        <f t="shared" si="293"/>
        <v>0.73186666666666667</v>
      </c>
      <c r="T620" s="30" t="str">
        <f t="shared" si="294"/>
        <v xml:space="preserve"> </v>
      </c>
      <c r="U620" s="30" t="str">
        <f t="shared" si="295"/>
        <v xml:space="preserve"> </v>
      </c>
      <c r="V620" s="30" t="str">
        <f t="shared" si="296"/>
        <v xml:space="preserve"> </v>
      </c>
      <c r="W620" s="30">
        <f t="shared" si="296"/>
        <v>0.73186666666666667</v>
      </c>
    </row>
    <row r="621" spans="1:23" ht="77.25" customHeight="1" x14ac:dyDescent="0.2">
      <c r="A621" s="74"/>
      <c r="B621" s="75"/>
      <c r="C621" s="4" t="s">
        <v>646</v>
      </c>
      <c r="D621" s="35">
        <f t="shared" si="297"/>
        <v>0</v>
      </c>
      <c r="E621" s="36"/>
      <c r="F621" s="36"/>
      <c r="G621" s="36"/>
      <c r="H621" s="37">
        <v>0</v>
      </c>
      <c r="I621" s="35">
        <f t="shared" si="291"/>
        <v>870</v>
      </c>
      <c r="J621" s="36"/>
      <c r="K621" s="36"/>
      <c r="L621" s="36"/>
      <c r="M621" s="37">
        <v>870</v>
      </c>
      <c r="N621" s="35">
        <f t="shared" si="298"/>
        <v>636.72400000000005</v>
      </c>
      <c r="O621" s="36"/>
      <c r="P621" s="36"/>
      <c r="Q621" s="36"/>
      <c r="R621" s="37">
        <v>636.72400000000005</v>
      </c>
      <c r="S621" s="29">
        <f t="shared" si="293"/>
        <v>0.73186666666666667</v>
      </c>
      <c r="T621" s="30" t="str">
        <f t="shared" si="294"/>
        <v xml:space="preserve"> </v>
      </c>
      <c r="U621" s="30" t="str">
        <f t="shared" si="295"/>
        <v xml:space="preserve"> </v>
      </c>
      <c r="V621" s="30" t="str">
        <f t="shared" si="296"/>
        <v xml:space="preserve"> </v>
      </c>
      <c r="W621" s="30">
        <f t="shared" si="296"/>
        <v>0.73186666666666667</v>
      </c>
    </row>
    <row r="622" spans="1:23" s="38" customFormat="1" ht="36" customHeight="1" x14ac:dyDescent="0.2">
      <c r="A622" s="78"/>
      <c r="B622" s="79"/>
      <c r="C622" s="54" t="s">
        <v>232</v>
      </c>
      <c r="D622" s="55">
        <f t="shared" si="297"/>
        <v>0</v>
      </c>
      <c r="E622" s="56">
        <f>+E623+E624+E625+E626+E627</f>
        <v>0</v>
      </c>
      <c r="F622" s="56">
        <f>+F623+F624+F625+F626+F627</f>
        <v>0</v>
      </c>
      <c r="G622" s="56">
        <f>+G623+G624+G625+G626+G627</f>
        <v>0</v>
      </c>
      <c r="H622" s="57">
        <f>+H623+H624+H625+H626+H627</f>
        <v>0</v>
      </c>
      <c r="I622" s="55">
        <f t="shared" si="291"/>
        <v>4350</v>
      </c>
      <c r="J622" s="56">
        <f>+J623+J624+J625+J626+J627</f>
        <v>0</v>
      </c>
      <c r="K622" s="56">
        <f>+K623+K624+K625+K626+K627</f>
        <v>0</v>
      </c>
      <c r="L622" s="56">
        <f>+L623+L624+L625+L626+L627</f>
        <v>0</v>
      </c>
      <c r="M622" s="57">
        <f>+M623+M624+M625+M626+M627</f>
        <v>4350</v>
      </c>
      <c r="N622" s="55">
        <f t="shared" si="298"/>
        <v>3183.6200000000003</v>
      </c>
      <c r="O622" s="56">
        <f>+O623+O624+O625+O626+O627</f>
        <v>0</v>
      </c>
      <c r="P622" s="56">
        <f>+P623+P624+P625+P626+P627</f>
        <v>0</v>
      </c>
      <c r="Q622" s="56">
        <f>+Q623+Q624+Q625+Q626+Q627</f>
        <v>0</v>
      </c>
      <c r="R622" s="57">
        <f>+R623+R624+R625+R626+R627</f>
        <v>3183.6200000000003</v>
      </c>
      <c r="S622" s="26">
        <f t="shared" si="293"/>
        <v>0.73186666666666678</v>
      </c>
      <c r="T622" s="27" t="str">
        <f t="shared" si="294"/>
        <v xml:space="preserve"> </v>
      </c>
      <c r="U622" s="27" t="str">
        <f t="shared" si="295"/>
        <v xml:space="preserve"> </v>
      </c>
      <c r="V622" s="27" t="str">
        <f t="shared" si="296"/>
        <v xml:space="preserve"> </v>
      </c>
      <c r="W622" s="27">
        <f t="shared" si="296"/>
        <v>0.73186666666666678</v>
      </c>
    </row>
    <row r="623" spans="1:23" ht="45.75" customHeight="1" x14ac:dyDescent="0.2">
      <c r="A623" s="74"/>
      <c r="B623" s="75"/>
      <c r="C623" s="4" t="s">
        <v>647</v>
      </c>
      <c r="D623" s="35">
        <f t="shared" si="297"/>
        <v>0</v>
      </c>
      <c r="E623" s="36"/>
      <c r="F623" s="36"/>
      <c r="G623" s="36"/>
      <c r="H623" s="37">
        <v>0</v>
      </c>
      <c r="I623" s="35">
        <f t="shared" si="291"/>
        <v>870</v>
      </c>
      <c r="J623" s="36"/>
      <c r="K623" s="36"/>
      <c r="L623" s="36"/>
      <c r="M623" s="37">
        <v>870</v>
      </c>
      <c r="N623" s="35">
        <f t="shared" si="298"/>
        <v>636.72400000000005</v>
      </c>
      <c r="O623" s="36"/>
      <c r="P623" s="36"/>
      <c r="Q623" s="36"/>
      <c r="R623" s="37">
        <v>636.72400000000005</v>
      </c>
      <c r="S623" s="29">
        <f t="shared" si="293"/>
        <v>0.73186666666666667</v>
      </c>
      <c r="T623" s="30" t="str">
        <f t="shared" si="294"/>
        <v xml:space="preserve"> </v>
      </c>
      <c r="U623" s="30" t="str">
        <f t="shared" si="295"/>
        <v xml:space="preserve"> </v>
      </c>
      <c r="V623" s="30" t="str">
        <f t="shared" si="296"/>
        <v xml:space="preserve"> </v>
      </c>
      <c r="W623" s="30">
        <f t="shared" si="296"/>
        <v>0.73186666666666667</v>
      </c>
    </row>
    <row r="624" spans="1:23" ht="84" customHeight="1" x14ac:dyDescent="0.2">
      <c r="A624" s="74"/>
      <c r="B624" s="75"/>
      <c r="C624" s="4" t="s">
        <v>648</v>
      </c>
      <c r="D624" s="35">
        <f t="shared" si="297"/>
        <v>0</v>
      </c>
      <c r="E624" s="36"/>
      <c r="F624" s="36"/>
      <c r="G624" s="36"/>
      <c r="H624" s="37">
        <v>0</v>
      </c>
      <c r="I624" s="35">
        <f t="shared" si="291"/>
        <v>870</v>
      </c>
      <c r="J624" s="36"/>
      <c r="K624" s="36"/>
      <c r="L624" s="36"/>
      <c r="M624" s="37">
        <v>870</v>
      </c>
      <c r="N624" s="35">
        <f t="shared" si="298"/>
        <v>636.72400000000005</v>
      </c>
      <c r="O624" s="36"/>
      <c r="P624" s="36"/>
      <c r="Q624" s="36"/>
      <c r="R624" s="37">
        <v>636.72400000000005</v>
      </c>
      <c r="S624" s="29">
        <f t="shared" si="293"/>
        <v>0.73186666666666667</v>
      </c>
      <c r="T624" s="30" t="str">
        <f t="shared" si="294"/>
        <v xml:space="preserve"> </v>
      </c>
      <c r="U624" s="30" t="str">
        <f t="shared" si="295"/>
        <v xml:space="preserve"> </v>
      </c>
      <c r="V624" s="30" t="str">
        <f t="shared" si="296"/>
        <v xml:space="preserve"> </v>
      </c>
      <c r="W624" s="30">
        <f t="shared" si="296"/>
        <v>0.73186666666666667</v>
      </c>
    </row>
    <row r="625" spans="1:23" ht="60.75" customHeight="1" x14ac:dyDescent="0.2">
      <c r="A625" s="74"/>
      <c r="B625" s="75"/>
      <c r="C625" s="4" t="s">
        <v>649</v>
      </c>
      <c r="D625" s="35">
        <f t="shared" si="297"/>
        <v>0</v>
      </c>
      <c r="E625" s="36"/>
      <c r="F625" s="36"/>
      <c r="G625" s="36"/>
      <c r="H625" s="37">
        <v>0</v>
      </c>
      <c r="I625" s="35">
        <f t="shared" si="291"/>
        <v>870</v>
      </c>
      <c r="J625" s="36"/>
      <c r="K625" s="36"/>
      <c r="L625" s="36"/>
      <c r="M625" s="37">
        <v>870</v>
      </c>
      <c r="N625" s="35">
        <f t="shared" si="298"/>
        <v>636.72400000000005</v>
      </c>
      <c r="O625" s="36"/>
      <c r="P625" s="36"/>
      <c r="Q625" s="36"/>
      <c r="R625" s="37">
        <v>636.72400000000005</v>
      </c>
      <c r="S625" s="29">
        <f t="shared" si="293"/>
        <v>0.73186666666666667</v>
      </c>
      <c r="T625" s="30" t="str">
        <f t="shared" si="294"/>
        <v xml:space="preserve"> </v>
      </c>
      <c r="U625" s="30" t="str">
        <f t="shared" si="295"/>
        <v xml:space="preserve"> </v>
      </c>
      <c r="V625" s="30" t="str">
        <f t="shared" si="296"/>
        <v xml:space="preserve"> </v>
      </c>
      <c r="W625" s="30">
        <f t="shared" si="296"/>
        <v>0.73186666666666667</v>
      </c>
    </row>
    <row r="626" spans="1:23" ht="60" customHeight="1" x14ac:dyDescent="0.2">
      <c r="A626" s="74"/>
      <c r="B626" s="75"/>
      <c r="C626" s="4" t="s">
        <v>650</v>
      </c>
      <c r="D626" s="35">
        <f t="shared" si="297"/>
        <v>0</v>
      </c>
      <c r="E626" s="36"/>
      <c r="F626" s="36"/>
      <c r="G626" s="36"/>
      <c r="H626" s="37">
        <v>0</v>
      </c>
      <c r="I626" s="35">
        <f t="shared" si="291"/>
        <v>870</v>
      </c>
      <c r="J626" s="36"/>
      <c r="K626" s="36"/>
      <c r="L626" s="36"/>
      <c r="M626" s="37">
        <v>870</v>
      </c>
      <c r="N626" s="35">
        <f t="shared" si="298"/>
        <v>636.72400000000005</v>
      </c>
      <c r="O626" s="36"/>
      <c r="P626" s="36"/>
      <c r="Q626" s="36"/>
      <c r="R626" s="37">
        <v>636.72400000000005</v>
      </c>
      <c r="S626" s="29">
        <f t="shared" si="293"/>
        <v>0.73186666666666667</v>
      </c>
      <c r="T626" s="30" t="str">
        <f t="shared" si="294"/>
        <v xml:space="preserve"> </v>
      </c>
      <c r="U626" s="30" t="str">
        <f t="shared" si="295"/>
        <v xml:space="preserve"> </v>
      </c>
      <c r="V626" s="30" t="str">
        <f t="shared" si="296"/>
        <v xml:space="preserve"> </v>
      </c>
      <c r="W626" s="30">
        <f t="shared" si="296"/>
        <v>0.73186666666666667</v>
      </c>
    </row>
    <row r="627" spans="1:23" ht="57" customHeight="1" x14ac:dyDescent="0.2">
      <c r="A627" s="74"/>
      <c r="B627" s="75"/>
      <c r="C627" s="4" t="s">
        <v>651</v>
      </c>
      <c r="D627" s="35">
        <f t="shared" si="297"/>
        <v>0</v>
      </c>
      <c r="E627" s="36"/>
      <c r="F627" s="36"/>
      <c r="G627" s="36"/>
      <c r="H627" s="37">
        <v>0</v>
      </c>
      <c r="I627" s="35">
        <f>SUM(J627:M627)</f>
        <v>870</v>
      </c>
      <c r="J627" s="36"/>
      <c r="K627" s="36"/>
      <c r="L627" s="36"/>
      <c r="M627" s="37">
        <v>870</v>
      </c>
      <c r="N627" s="35">
        <f t="shared" si="298"/>
        <v>636.72400000000005</v>
      </c>
      <c r="O627" s="36"/>
      <c r="P627" s="36"/>
      <c r="Q627" s="36"/>
      <c r="R627" s="37">
        <v>636.72400000000005</v>
      </c>
      <c r="S627" s="29">
        <f t="shared" si="293"/>
        <v>0.73186666666666667</v>
      </c>
      <c r="T627" s="30" t="str">
        <f t="shared" si="294"/>
        <v xml:space="preserve"> </v>
      </c>
      <c r="U627" s="30" t="str">
        <f t="shared" si="295"/>
        <v xml:space="preserve"> </v>
      </c>
      <c r="V627" s="30" t="str">
        <f t="shared" si="296"/>
        <v xml:space="preserve"> </v>
      </c>
      <c r="W627" s="30">
        <f t="shared" si="296"/>
        <v>0.73186666666666667</v>
      </c>
    </row>
    <row r="628" spans="1:23" s="38" customFormat="1" ht="34.5" customHeight="1" x14ac:dyDescent="0.2">
      <c r="A628" s="78"/>
      <c r="B628" s="79"/>
      <c r="C628" s="54" t="s">
        <v>133</v>
      </c>
      <c r="D628" s="55">
        <f t="shared" si="297"/>
        <v>0</v>
      </c>
      <c r="E628" s="56">
        <f>+E629</f>
        <v>0</v>
      </c>
      <c r="F628" s="56">
        <f>+F629</f>
        <v>0</v>
      </c>
      <c r="G628" s="56">
        <f>+G629</f>
        <v>0</v>
      </c>
      <c r="H628" s="57">
        <f>+H629</f>
        <v>0</v>
      </c>
      <c r="I628" s="55">
        <f>SUM(J628:M628)</f>
        <v>870</v>
      </c>
      <c r="J628" s="56">
        <f>+J629</f>
        <v>0</v>
      </c>
      <c r="K628" s="56">
        <f>+K629</f>
        <v>0</v>
      </c>
      <c r="L628" s="56">
        <f>+L629</f>
        <v>0</v>
      </c>
      <c r="M628" s="57">
        <f>+M629</f>
        <v>870</v>
      </c>
      <c r="N628" s="55">
        <f t="shared" si="298"/>
        <v>636.72400000000005</v>
      </c>
      <c r="O628" s="56">
        <f>+O629</f>
        <v>0</v>
      </c>
      <c r="P628" s="56">
        <f>+P629</f>
        <v>0</v>
      </c>
      <c r="Q628" s="56">
        <f>+Q629</f>
        <v>0</v>
      </c>
      <c r="R628" s="57">
        <f>+R629</f>
        <v>636.72400000000005</v>
      </c>
      <c r="S628" s="26">
        <f t="shared" si="293"/>
        <v>0.73186666666666667</v>
      </c>
      <c r="T628" s="27" t="str">
        <f t="shared" si="294"/>
        <v xml:space="preserve"> </v>
      </c>
      <c r="U628" s="27" t="str">
        <f t="shared" si="295"/>
        <v xml:space="preserve"> </v>
      </c>
      <c r="V628" s="27" t="str">
        <f t="shared" si="296"/>
        <v xml:space="preserve"> </v>
      </c>
      <c r="W628" s="27">
        <f t="shared" si="296"/>
        <v>0.73186666666666667</v>
      </c>
    </row>
    <row r="629" spans="1:23" ht="68.25" customHeight="1" x14ac:dyDescent="0.2">
      <c r="A629" s="74"/>
      <c r="B629" s="75"/>
      <c r="C629" s="4" t="s">
        <v>652</v>
      </c>
      <c r="D629" s="35">
        <f t="shared" si="297"/>
        <v>0</v>
      </c>
      <c r="E629" s="36"/>
      <c r="F629" s="36"/>
      <c r="G629" s="36"/>
      <c r="H629" s="37">
        <v>0</v>
      </c>
      <c r="I629" s="35">
        <f>SUM(J629:M629)</f>
        <v>870</v>
      </c>
      <c r="J629" s="36"/>
      <c r="K629" s="36"/>
      <c r="L629" s="36"/>
      <c r="M629" s="37">
        <v>870</v>
      </c>
      <c r="N629" s="35">
        <f t="shared" si="298"/>
        <v>636.72400000000005</v>
      </c>
      <c r="O629" s="36"/>
      <c r="P629" s="36"/>
      <c r="Q629" s="36"/>
      <c r="R629" s="37">
        <v>636.72400000000005</v>
      </c>
      <c r="S629" s="29">
        <f t="shared" si="293"/>
        <v>0.73186666666666667</v>
      </c>
      <c r="T629" s="30" t="str">
        <f t="shared" si="294"/>
        <v xml:space="preserve"> </v>
      </c>
      <c r="U629" s="30" t="str">
        <f t="shared" si="295"/>
        <v xml:space="preserve"> </v>
      </c>
      <c r="V629" s="30" t="str">
        <f t="shared" si="296"/>
        <v xml:space="preserve"> </v>
      </c>
      <c r="W629" s="30">
        <f t="shared" si="296"/>
        <v>0.73186666666666667</v>
      </c>
    </row>
    <row r="630" spans="1:23" ht="81.75" customHeight="1" x14ac:dyDescent="0.2">
      <c r="A630" s="72">
        <v>1163</v>
      </c>
      <c r="B630" s="76">
        <v>12001</v>
      </c>
      <c r="C630" s="1" t="s">
        <v>653</v>
      </c>
      <c r="D630" s="5">
        <f t="shared" si="297"/>
        <v>1109638.3999999999</v>
      </c>
      <c r="E630" s="6">
        <f>+E632+E634</f>
        <v>1109638.3999999999</v>
      </c>
      <c r="F630" s="6">
        <f>+F632+F634</f>
        <v>0</v>
      </c>
      <c r="G630" s="6">
        <f>+G632+G634</f>
        <v>0</v>
      </c>
      <c r="H630" s="7">
        <f>+H632+H634</f>
        <v>0</v>
      </c>
      <c r="I630" s="5">
        <f>SUM(J630:M630)</f>
        <v>1305616.3</v>
      </c>
      <c r="J630" s="6">
        <f>+J632+J634</f>
        <v>1065781.3</v>
      </c>
      <c r="K630" s="6">
        <f>+K632+K634</f>
        <v>225147</v>
      </c>
      <c r="L630" s="6">
        <f>+L632+L634</f>
        <v>14688</v>
      </c>
      <c r="M630" s="7">
        <f>+M632+M634</f>
        <v>0</v>
      </c>
      <c r="N630" s="5">
        <f t="shared" si="298"/>
        <v>1302040.79</v>
      </c>
      <c r="O630" s="6">
        <f>+O632+O634</f>
        <v>1065740.79</v>
      </c>
      <c r="P630" s="6">
        <f>+P632+P634</f>
        <v>222000</v>
      </c>
      <c r="Q630" s="6">
        <f>+Q632+Q634</f>
        <v>14300</v>
      </c>
      <c r="R630" s="7">
        <f>+R632+R634</f>
        <v>0</v>
      </c>
      <c r="S630" s="26">
        <f t="shared" si="293"/>
        <v>0.99726143890819985</v>
      </c>
      <c r="T630" s="27">
        <f t="shared" si="294"/>
        <v>0.99996199032578259</v>
      </c>
      <c r="U630" s="27">
        <f t="shared" si="295"/>
        <v>0.98602246532265592</v>
      </c>
      <c r="V630" s="27">
        <f t="shared" si="296"/>
        <v>0.97358387799564272</v>
      </c>
      <c r="W630" s="27" t="str">
        <f t="shared" si="296"/>
        <v xml:space="preserve"> </v>
      </c>
    </row>
    <row r="631" spans="1:23" ht="16.5" x14ac:dyDescent="0.2">
      <c r="A631" s="72"/>
      <c r="B631" s="76"/>
      <c r="C631" s="4" t="s">
        <v>10</v>
      </c>
      <c r="D631" s="5"/>
      <c r="E631" s="6"/>
      <c r="F631" s="6"/>
      <c r="G631" s="6"/>
      <c r="H631" s="7"/>
      <c r="I631" s="5"/>
      <c r="J631" s="6"/>
      <c r="K631" s="6"/>
      <c r="L631" s="6"/>
      <c r="M631" s="7"/>
      <c r="N631" s="5"/>
      <c r="O631" s="6"/>
      <c r="P631" s="6"/>
      <c r="Q631" s="6"/>
      <c r="R631" s="7"/>
      <c r="S631" s="29" t="str">
        <f t="shared" si="293"/>
        <v xml:space="preserve"> </v>
      </c>
      <c r="T631" s="30" t="str">
        <f t="shared" si="294"/>
        <v xml:space="preserve"> </v>
      </c>
      <c r="U631" s="30" t="str">
        <f t="shared" si="295"/>
        <v xml:space="preserve"> </v>
      </c>
      <c r="V631" s="30" t="str">
        <f t="shared" si="296"/>
        <v xml:space="preserve"> </v>
      </c>
      <c r="W631" s="30" t="str">
        <f t="shared" si="296"/>
        <v xml:space="preserve"> </v>
      </c>
    </row>
    <row r="632" spans="1:23" s="38" customFormat="1" ht="26.25" customHeight="1" x14ac:dyDescent="0.2">
      <c r="A632" s="78"/>
      <c r="B632" s="79"/>
      <c r="C632" s="54" t="s">
        <v>220</v>
      </c>
      <c r="D632" s="55">
        <f>SUM(E632:H632)</f>
        <v>0</v>
      </c>
      <c r="E632" s="56">
        <f>+E633</f>
        <v>0</v>
      </c>
      <c r="F632" s="56">
        <f t="shared" ref="F632:H634" si="299">+F633</f>
        <v>0</v>
      </c>
      <c r="G632" s="56">
        <f t="shared" si="299"/>
        <v>0</v>
      </c>
      <c r="H632" s="57">
        <f t="shared" si="299"/>
        <v>0</v>
      </c>
      <c r="I632" s="55">
        <f>SUM(J632:M632)</f>
        <v>225147</v>
      </c>
      <c r="J632" s="56">
        <f>+J633</f>
        <v>0</v>
      </c>
      <c r="K632" s="56">
        <f>+K633</f>
        <v>225147</v>
      </c>
      <c r="L632" s="56">
        <f>+L633</f>
        <v>0</v>
      </c>
      <c r="M632" s="57">
        <f>+M633</f>
        <v>0</v>
      </c>
      <c r="N632" s="55">
        <f>SUM(O632:R632)</f>
        <v>222000</v>
      </c>
      <c r="O632" s="56">
        <f>+O633</f>
        <v>0</v>
      </c>
      <c r="P632" s="56">
        <f>+P633</f>
        <v>222000</v>
      </c>
      <c r="Q632" s="56">
        <f>+Q633</f>
        <v>0</v>
      </c>
      <c r="R632" s="57">
        <f>+R633</f>
        <v>0</v>
      </c>
      <c r="S632" s="26">
        <f t="shared" si="293"/>
        <v>0.98602246532265592</v>
      </c>
      <c r="T632" s="27" t="str">
        <f t="shared" si="294"/>
        <v xml:space="preserve"> </v>
      </c>
      <c r="U632" s="27">
        <f t="shared" si="295"/>
        <v>0.98602246532265592</v>
      </c>
      <c r="V632" s="27" t="str">
        <f t="shared" si="296"/>
        <v xml:space="preserve"> </v>
      </c>
      <c r="W632" s="27" t="str">
        <f t="shared" si="296"/>
        <v xml:space="preserve"> </v>
      </c>
    </row>
    <row r="633" spans="1:23" ht="66.75" customHeight="1" x14ac:dyDescent="0.2">
      <c r="A633" s="74"/>
      <c r="B633" s="75"/>
      <c r="C633" s="4" t="s">
        <v>654</v>
      </c>
      <c r="D633" s="35">
        <f>SUM(E633:H633)</f>
        <v>0</v>
      </c>
      <c r="E633" s="36"/>
      <c r="F633" s="36">
        <v>0</v>
      </c>
      <c r="G633" s="36"/>
      <c r="H633" s="37"/>
      <c r="I633" s="35">
        <f>SUM(J633:M633)</f>
        <v>225147</v>
      </c>
      <c r="J633" s="36"/>
      <c r="K633" s="36">
        <v>225147</v>
      </c>
      <c r="L633" s="36"/>
      <c r="M633" s="37"/>
      <c r="N633" s="35">
        <f>SUM(O633:R633)</f>
        <v>222000</v>
      </c>
      <c r="O633" s="36"/>
      <c r="P633" s="36">
        <v>222000</v>
      </c>
      <c r="Q633" s="36"/>
      <c r="R633" s="37"/>
      <c r="S633" s="29">
        <f t="shared" si="293"/>
        <v>0.98602246532265592</v>
      </c>
      <c r="T633" s="30" t="str">
        <f t="shared" si="294"/>
        <v xml:space="preserve"> </v>
      </c>
      <c r="U633" s="30">
        <f t="shared" si="295"/>
        <v>0.98602246532265592</v>
      </c>
      <c r="V633" s="30" t="str">
        <f t="shared" si="296"/>
        <v xml:space="preserve"> </v>
      </c>
      <c r="W633" s="30" t="str">
        <f t="shared" si="296"/>
        <v xml:space="preserve"> </v>
      </c>
    </row>
    <row r="634" spans="1:23" s="38" customFormat="1" ht="30" customHeight="1" x14ac:dyDescent="0.2">
      <c r="A634" s="78"/>
      <c r="B634" s="79"/>
      <c r="C634" s="54" t="s">
        <v>232</v>
      </c>
      <c r="D634" s="55">
        <f>SUM(E634:H634)</f>
        <v>1109638.3999999999</v>
      </c>
      <c r="E634" s="56">
        <f>+E635</f>
        <v>1109638.3999999999</v>
      </c>
      <c r="F634" s="56">
        <f t="shared" si="299"/>
        <v>0</v>
      </c>
      <c r="G634" s="56">
        <f t="shared" si="299"/>
        <v>0</v>
      </c>
      <c r="H634" s="57">
        <f t="shared" si="299"/>
        <v>0</v>
      </c>
      <c r="I634" s="55">
        <f>SUM(J634:M634)</f>
        <v>1080469.3</v>
      </c>
      <c r="J634" s="56">
        <f>+J635</f>
        <v>1065781.3</v>
      </c>
      <c r="K634" s="56">
        <f>+K635</f>
        <v>0</v>
      </c>
      <c r="L634" s="56">
        <f>+L635</f>
        <v>14688</v>
      </c>
      <c r="M634" s="57">
        <f>+M635</f>
        <v>0</v>
      </c>
      <c r="N634" s="55">
        <f>SUM(O634:R634)</f>
        <v>1080040.79</v>
      </c>
      <c r="O634" s="56">
        <f>+O635</f>
        <v>1065740.79</v>
      </c>
      <c r="P634" s="56">
        <f>+P635</f>
        <v>0</v>
      </c>
      <c r="Q634" s="56">
        <f>+Q635</f>
        <v>14300</v>
      </c>
      <c r="R634" s="57">
        <f>+R635</f>
        <v>0</v>
      </c>
      <c r="S634" s="26">
        <f t="shared" si="293"/>
        <v>0.99960340381721169</v>
      </c>
      <c r="T634" s="27">
        <f t="shared" si="294"/>
        <v>0.99996199032578259</v>
      </c>
      <c r="U634" s="27" t="str">
        <f t="shared" si="295"/>
        <v xml:space="preserve"> </v>
      </c>
      <c r="V634" s="27">
        <f t="shared" si="296"/>
        <v>0.97358387799564272</v>
      </c>
      <c r="W634" s="27" t="str">
        <f t="shared" si="296"/>
        <v xml:space="preserve"> </v>
      </c>
    </row>
    <row r="635" spans="1:23" ht="57.75" customHeight="1" x14ac:dyDescent="0.2">
      <c r="A635" s="74"/>
      <c r="B635" s="75"/>
      <c r="C635" s="4" t="s">
        <v>655</v>
      </c>
      <c r="D635" s="35">
        <f>SUM(E635:H635)</f>
        <v>1109638.3999999999</v>
      </c>
      <c r="E635" s="36">
        <v>1109638.3999999999</v>
      </c>
      <c r="F635" s="36"/>
      <c r="G635" s="36">
        <v>0</v>
      </c>
      <c r="H635" s="37"/>
      <c r="I635" s="35">
        <f>SUM(J635:M635)</f>
        <v>1080469.3</v>
      </c>
      <c r="J635" s="36">
        <v>1065781.3</v>
      </c>
      <c r="K635" s="36"/>
      <c r="L635" s="36">
        <v>14688</v>
      </c>
      <c r="M635" s="37"/>
      <c r="N635" s="35">
        <f>SUM(O635:R635)</f>
        <v>1080040.79</v>
      </c>
      <c r="O635" s="36">
        <v>1065740.79</v>
      </c>
      <c r="P635" s="36"/>
      <c r="Q635" s="36">
        <v>14300</v>
      </c>
      <c r="R635" s="37"/>
      <c r="S635" s="29">
        <f t="shared" si="293"/>
        <v>0.99960340381721169</v>
      </c>
      <c r="T635" s="30">
        <f t="shared" si="294"/>
        <v>0.99996199032578259</v>
      </c>
      <c r="U635" s="30" t="str">
        <f t="shared" si="295"/>
        <v xml:space="preserve"> </v>
      </c>
      <c r="V635" s="30">
        <f t="shared" si="296"/>
        <v>0.97358387799564272</v>
      </c>
      <c r="W635" s="30" t="str">
        <f t="shared" si="296"/>
        <v xml:space="preserve"> </v>
      </c>
    </row>
    <row r="636" spans="1:23" ht="38.25" customHeight="1" x14ac:dyDescent="0.2">
      <c r="A636" s="72">
        <v>1163</v>
      </c>
      <c r="B636" s="76">
        <v>32001</v>
      </c>
      <c r="C636" s="1" t="s">
        <v>656</v>
      </c>
      <c r="D636" s="5">
        <f>SUM(E636:H636)</f>
        <v>1581592.1</v>
      </c>
      <c r="E636" s="6">
        <f>+E638+E643</f>
        <v>1581592.1</v>
      </c>
      <c r="F636" s="6">
        <f>+F638+F643</f>
        <v>0</v>
      </c>
      <c r="G636" s="6">
        <f>+G638+G643</f>
        <v>0</v>
      </c>
      <c r="H636" s="7">
        <f>+H638+H643</f>
        <v>0</v>
      </c>
      <c r="I636" s="5">
        <f>SUM(J636:M636)</f>
        <v>562195.70000000007</v>
      </c>
      <c r="J636" s="6">
        <f>+J638+J643</f>
        <v>562195.70000000007</v>
      </c>
      <c r="K636" s="6">
        <f>+K638+K643</f>
        <v>0</v>
      </c>
      <c r="L636" s="6">
        <f>+L638+L643</f>
        <v>0</v>
      </c>
      <c r="M636" s="7">
        <f>+M638+M643</f>
        <v>0</v>
      </c>
      <c r="N636" s="5">
        <f>SUM(O636:R636)</f>
        <v>559367.65</v>
      </c>
      <c r="O636" s="6">
        <f>+O638+O643</f>
        <v>559367.65</v>
      </c>
      <c r="P636" s="6">
        <f>+P638+P643</f>
        <v>0</v>
      </c>
      <c r="Q636" s="6">
        <f>+Q638+Q643</f>
        <v>0</v>
      </c>
      <c r="R636" s="7">
        <f>+R638+R643</f>
        <v>0</v>
      </c>
      <c r="S636" s="26">
        <f t="shared" si="293"/>
        <v>0.99496963423946494</v>
      </c>
      <c r="T636" s="27">
        <f t="shared" si="294"/>
        <v>0.99496963423946494</v>
      </c>
      <c r="U636" s="27" t="str">
        <f t="shared" si="295"/>
        <v xml:space="preserve"> </v>
      </c>
      <c r="V636" s="27" t="str">
        <f t="shared" si="296"/>
        <v xml:space="preserve"> </v>
      </c>
      <c r="W636" s="27" t="str">
        <f t="shared" si="296"/>
        <v xml:space="preserve"> </v>
      </c>
    </row>
    <row r="637" spans="1:23" ht="16.5" x14ac:dyDescent="0.2">
      <c r="A637" s="72"/>
      <c r="B637" s="76"/>
      <c r="C637" s="4" t="s">
        <v>10</v>
      </c>
      <c r="D637" s="5"/>
      <c r="E637" s="6"/>
      <c r="F637" s="6"/>
      <c r="G637" s="6"/>
      <c r="H637" s="7"/>
      <c r="I637" s="5"/>
      <c r="J637" s="6"/>
      <c r="K637" s="6"/>
      <c r="L637" s="6"/>
      <c r="M637" s="7"/>
      <c r="N637" s="5"/>
      <c r="O637" s="6"/>
      <c r="P637" s="6"/>
      <c r="Q637" s="6"/>
      <c r="R637" s="7"/>
      <c r="S637" s="29" t="str">
        <f t="shared" si="293"/>
        <v xml:space="preserve"> </v>
      </c>
      <c r="T637" s="30" t="str">
        <f t="shared" si="294"/>
        <v xml:space="preserve"> </v>
      </c>
      <c r="U637" s="30" t="str">
        <f t="shared" si="295"/>
        <v xml:space="preserve"> </v>
      </c>
      <c r="V637" s="30" t="str">
        <f t="shared" si="296"/>
        <v xml:space="preserve"> </v>
      </c>
      <c r="W637" s="30" t="str">
        <f t="shared" si="296"/>
        <v xml:space="preserve"> </v>
      </c>
    </row>
    <row r="638" spans="1:23" s="38" customFormat="1" ht="35.25" customHeight="1" x14ac:dyDescent="0.2">
      <c r="A638" s="78"/>
      <c r="B638" s="79"/>
      <c r="C638" s="54" t="s">
        <v>220</v>
      </c>
      <c r="D638" s="55">
        <f t="shared" ref="D638:D645" si="300">SUM(E638:H638)</f>
        <v>1069232.1000000001</v>
      </c>
      <c r="E638" s="56">
        <f>+E639+E640+E641+E642</f>
        <v>1069232.1000000001</v>
      </c>
      <c r="F638" s="56">
        <f t="shared" ref="F638:H638" si="301">+F639+F640+F641+F642</f>
        <v>0</v>
      </c>
      <c r="G638" s="56">
        <f t="shared" si="301"/>
        <v>0</v>
      </c>
      <c r="H638" s="57">
        <f t="shared" si="301"/>
        <v>0</v>
      </c>
      <c r="I638" s="55">
        <f t="shared" ref="I638:I645" si="302">SUM(J638:M638)</f>
        <v>387045.80000000005</v>
      </c>
      <c r="J638" s="56">
        <f>+J639+J640+J641+J642</f>
        <v>387045.80000000005</v>
      </c>
      <c r="K638" s="56">
        <f t="shared" ref="K638:M638" si="303">+K639+K640+K641+K642</f>
        <v>0</v>
      </c>
      <c r="L638" s="56">
        <f t="shared" si="303"/>
        <v>0</v>
      </c>
      <c r="M638" s="57">
        <f t="shared" si="303"/>
        <v>0</v>
      </c>
      <c r="N638" s="55">
        <f t="shared" ref="N638:N645" si="304">SUM(O638:R638)</f>
        <v>384217.77</v>
      </c>
      <c r="O638" s="56">
        <f>+O639+O640+O641+O642</f>
        <v>384217.77</v>
      </c>
      <c r="P638" s="56">
        <f t="shared" ref="P638:R638" si="305">+P639+P640+P641+P642</f>
        <v>0</v>
      </c>
      <c r="Q638" s="56">
        <f t="shared" si="305"/>
        <v>0</v>
      </c>
      <c r="R638" s="57">
        <f t="shared" si="305"/>
        <v>0</v>
      </c>
      <c r="S638" s="26">
        <f t="shared" si="293"/>
        <v>0.99269329366188697</v>
      </c>
      <c r="T638" s="27">
        <f t="shared" si="294"/>
        <v>0.99269329366188697</v>
      </c>
      <c r="U638" s="27" t="str">
        <f t="shared" si="295"/>
        <v xml:space="preserve"> </v>
      </c>
      <c r="V638" s="27" t="str">
        <f t="shared" si="296"/>
        <v xml:space="preserve"> </v>
      </c>
      <c r="W638" s="27" t="str">
        <f t="shared" si="296"/>
        <v xml:space="preserve"> </v>
      </c>
    </row>
    <row r="639" spans="1:23" ht="45.75" customHeight="1" x14ac:dyDescent="0.2">
      <c r="A639" s="74"/>
      <c r="B639" s="75"/>
      <c r="C639" s="4" t="s">
        <v>100</v>
      </c>
      <c r="D639" s="35">
        <f t="shared" si="300"/>
        <v>507957.90000000008</v>
      </c>
      <c r="E639" s="36">
        <v>507957.90000000008</v>
      </c>
      <c r="F639" s="36"/>
      <c r="G639" s="36"/>
      <c r="H639" s="37"/>
      <c r="I639" s="35">
        <f t="shared" si="302"/>
        <v>0</v>
      </c>
      <c r="J639" s="36">
        <v>0</v>
      </c>
      <c r="K639" s="36"/>
      <c r="L639" s="36"/>
      <c r="M639" s="37"/>
      <c r="N639" s="35">
        <f t="shared" si="304"/>
        <v>0</v>
      </c>
      <c r="O639" s="36">
        <v>0</v>
      </c>
      <c r="P639" s="36"/>
      <c r="Q639" s="36"/>
      <c r="R639" s="37"/>
      <c r="S639" s="29" t="str">
        <f t="shared" si="293"/>
        <v xml:space="preserve"> </v>
      </c>
      <c r="T639" s="30" t="str">
        <f t="shared" si="294"/>
        <v xml:space="preserve"> </v>
      </c>
      <c r="U639" s="30" t="str">
        <f t="shared" si="295"/>
        <v xml:space="preserve"> </v>
      </c>
      <c r="V639" s="30" t="str">
        <f t="shared" si="296"/>
        <v xml:space="preserve"> </v>
      </c>
      <c r="W639" s="30" t="str">
        <f t="shared" si="296"/>
        <v xml:space="preserve"> </v>
      </c>
    </row>
    <row r="640" spans="1:23" ht="60" customHeight="1" x14ac:dyDescent="0.2">
      <c r="A640" s="74"/>
      <c r="B640" s="75"/>
      <c r="C640" s="4" t="s">
        <v>657</v>
      </c>
      <c r="D640" s="35">
        <f t="shared" si="300"/>
        <v>0</v>
      </c>
      <c r="E640" s="36">
        <v>0</v>
      </c>
      <c r="F640" s="36"/>
      <c r="G640" s="36"/>
      <c r="H640" s="37"/>
      <c r="I640" s="35">
        <f t="shared" si="302"/>
        <v>411.4</v>
      </c>
      <c r="J640" s="36">
        <v>411.4</v>
      </c>
      <c r="K640" s="36"/>
      <c r="L640" s="36"/>
      <c r="M640" s="37"/>
      <c r="N640" s="35">
        <f t="shared" si="304"/>
        <v>411.37</v>
      </c>
      <c r="O640" s="36">
        <v>411.37</v>
      </c>
      <c r="P640" s="36"/>
      <c r="Q640" s="36"/>
      <c r="R640" s="37"/>
      <c r="S640" s="29">
        <f t="shared" si="293"/>
        <v>0.99992707826932437</v>
      </c>
      <c r="T640" s="30">
        <f t="shared" si="294"/>
        <v>0.99992707826932437</v>
      </c>
      <c r="U640" s="30" t="str">
        <f t="shared" si="295"/>
        <v xml:space="preserve"> </v>
      </c>
      <c r="V640" s="30" t="str">
        <f t="shared" si="296"/>
        <v xml:space="preserve"> </v>
      </c>
      <c r="W640" s="30" t="str">
        <f t="shared" si="296"/>
        <v xml:space="preserve"> </v>
      </c>
    </row>
    <row r="641" spans="1:23" ht="64.5" customHeight="1" x14ac:dyDescent="0.2">
      <c r="A641" s="74"/>
      <c r="B641" s="75"/>
      <c r="C641" s="4" t="s">
        <v>101</v>
      </c>
      <c r="D641" s="35">
        <f t="shared" si="300"/>
        <v>561274.19999999995</v>
      </c>
      <c r="E641" s="36">
        <v>561274.19999999995</v>
      </c>
      <c r="F641" s="36"/>
      <c r="G641" s="36"/>
      <c r="H641" s="37"/>
      <c r="I641" s="35">
        <f t="shared" si="302"/>
        <v>0</v>
      </c>
      <c r="J641" s="36">
        <v>0</v>
      </c>
      <c r="K641" s="36"/>
      <c r="L641" s="36"/>
      <c r="M641" s="37"/>
      <c r="N641" s="35">
        <f t="shared" si="304"/>
        <v>0</v>
      </c>
      <c r="O641" s="36">
        <v>0</v>
      </c>
      <c r="P641" s="36"/>
      <c r="Q641" s="36"/>
      <c r="R641" s="37"/>
      <c r="S641" s="29" t="str">
        <f t="shared" si="293"/>
        <v xml:space="preserve"> </v>
      </c>
      <c r="T641" s="30" t="str">
        <f t="shared" si="294"/>
        <v xml:space="preserve"> </v>
      </c>
      <c r="U641" s="30" t="str">
        <f t="shared" si="295"/>
        <v xml:space="preserve"> </v>
      </c>
      <c r="V641" s="30" t="str">
        <f t="shared" si="296"/>
        <v xml:space="preserve"> </v>
      </c>
      <c r="W641" s="30" t="str">
        <f t="shared" si="296"/>
        <v xml:space="preserve"> </v>
      </c>
    </row>
    <row r="642" spans="1:23" ht="106.5" customHeight="1" x14ac:dyDescent="0.2">
      <c r="A642" s="74"/>
      <c r="B642" s="75"/>
      <c r="C642" s="4" t="s">
        <v>658</v>
      </c>
      <c r="D642" s="35">
        <f>SUM(E642:H642)</f>
        <v>0</v>
      </c>
      <c r="E642" s="36">
        <v>0</v>
      </c>
      <c r="F642" s="36"/>
      <c r="G642" s="36"/>
      <c r="H642" s="37"/>
      <c r="I642" s="35">
        <f>SUM(J642:M642)</f>
        <v>386634.4</v>
      </c>
      <c r="J642" s="36">
        <v>386634.4</v>
      </c>
      <c r="K642" s="36"/>
      <c r="L642" s="36"/>
      <c r="M642" s="37"/>
      <c r="N642" s="35">
        <f>SUM(O642:R642)</f>
        <v>383806.4</v>
      </c>
      <c r="O642" s="36">
        <v>383806.4</v>
      </c>
      <c r="P642" s="36"/>
      <c r="Q642" s="36"/>
      <c r="R642" s="37"/>
      <c r="S642" s="29">
        <f t="shared" si="293"/>
        <v>0.99268559652219257</v>
      </c>
      <c r="T642" s="30">
        <f t="shared" si="294"/>
        <v>0.99268559652219257</v>
      </c>
      <c r="U642" s="30" t="str">
        <f t="shared" si="295"/>
        <v xml:space="preserve"> </v>
      </c>
      <c r="V642" s="30" t="str">
        <f t="shared" si="296"/>
        <v xml:space="preserve"> </v>
      </c>
      <c r="W642" s="30" t="str">
        <f t="shared" si="296"/>
        <v xml:space="preserve"> </v>
      </c>
    </row>
    <row r="643" spans="1:23" s="38" customFormat="1" ht="29.25" customHeight="1" x14ac:dyDescent="0.2">
      <c r="A643" s="78"/>
      <c r="B643" s="79"/>
      <c r="C643" s="54" t="s">
        <v>130</v>
      </c>
      <c r="D643" s="55">
        <f t="shared" si="300"/>
        <v>512360</v>
      </c>
      <c r="E643" s="56">
        <f>+E644</f>
        <v>512360</v>
      </c>
      <c r="F643" s="56">
        <f>+F644</f>
        <v>0</v>
      </c>
      <c r="G643" s="56">
        <f>+G644</f>
        <v>0</v>
      </c>
      <c r="H643" s="57">
        <f>+H644</f>
        <v>0</v>
      </c>
      <c r="I643" s="55">
        <f t="shared" si="302"/>
        <v>175149.9</v>
      </c>
      <c r="J643" s="56">
        <f>+J644</f>
        <v>175149.9</v>
      </c>
      <c r="K643" s="56">
        <f>+K644</f>
        <v>0</v>
      </c>
      <c r="L643" s="56">
        <f>+L644</f>
        <v>0</v>
      </c>
      <c r="M643" s="57">
        <f>+M644</f>
        <v>0</v>
      </c>
      <c r="N643" s="55">
        <f t="shared" si="304"/>
        <v>175149.88</v>
      </c>
      <c r="O643" s="56">
        <f>+O644</f>
        <v>175149.88</v>
      </c>
      <c r="P643" s="56">
        <f>+P644</f>
        <v>0</v>
      </c>
      <c r="Q643" s="56">
        <f>+Q644</f>
        <v>0</v>
      </c>
      <c r="R643" s="57">
        <f>+R644</f>
        <v>0</v>
      </c>
      <c r="S643" s="26">
        <f t="shared" si="293"/>
        <v>0.99999988581209587</v>
      </c>
      <c r="T643" s="27">
        <f t="shared" si="294"/>
        <v>0.99999988581209587</v>
      </c>
      <c r="U643" s="27" t="str">
        <f t="shared" si="295"/>
        <v xml:space="preserve"> </v>
      </c>
      <c r="V643" s="27" t="str">
        <f t="shared" si="296"/>
        <v xml:space="preserve"> </v>
      </c>
      <c r="W643" s="27" t="str">
        <f t="shared" si="296"/>
        <v xml:space="preserve"> </v>
      </c>
    </row>
    <row r="644" spans="1:23" ht="63.75" customHeight="1" x14ac:dyDescent="0.2">
      <c r="A644" s="74"/>
      <c r="B644" s="75"/>
      <c r="C644" s="4" t="s">
        <v>102</v>
      </c>
      <c r="D644" s="35">
        <f t="shared" si="300"/>
        <v>512360</v>
      </c>
      <c r="E644" s="36">
        <v>512360</v>
      </c>
      <c r="F644" s="36"/>
      <c r="G644" s="36"/>
      <c r="H644" s="37"/>
      <c r="I644" s="35">
        <f t="shared" si="302"/>
        <v>175149.9</v>
      </c>
      <c r="J644" s="36">
        <v>175149.9</v>
      </c>
      <c r="K644" s="36"/>
      <c r="L644" s="36"/>
      <c r="M644" s="37"/>
      <c r="N644" s="35">
        <f t="shared" si="304"/>
        <v>175149.88</v>
      </c>
      <c r="O644" s="36">
        <v>175149.88</v>
      </c>
      <c r="P644" s="36"/>
      <c r="Q644" s="36"/>
      <c r="R644" s="37"/>
      <c r="S644" s="29">
        <f t="shared" si="293"/>
        <v>0.99999988581209587</v>
      </c>
      <c r="T644" s="30">
        <f t="shared" si="294"/>
        <v>0.99999988581209587</v>
      </c>
      <c r="U644" s="30" t="str">
        <f t="shared" si="295"/>
        <v xml:space="preserve"> </v>
      </c>
      <c r="V644" s="30" t="str">
        <f t="shared" si="296"/>
        <v xml:space="preserve"> </v>
      </c>
      <c r="W644" s="30" t="str">
        <f t="shared" si="296"/>
        <v xml:space="preserve"> </v>
      </c>
    </row>
    <row r="645" spans="1:23" ht="34.5" customHeight="1" x14ac:dyDescent="0.2">
      <c r="A645" s="72">
        <v>1163</v>
      </c>
      <c r="B645" s="76">
        <v>32002</v>
      </c>
      <c r="C645" s="1" t="s">
        <v>659</v>
      </c>
      <c r="D645" s="5">
        <f t="shared" si="300"/>
        <v>0</v>
      </c>
      <c r="E645" s="6">
        <f>+E647</f>
        <v>0</v>
      </c>
      <c r="F645" s="6">
        <f>+F647</f>
        <v>0</v>
      </c>
      <c r="G645" s="6">
        <f>+G647</f>
        <v>0</v>
      </c>
      <c r="H645" s="7">
        <f>+H647</f>
        <v>0</v>
      </c>
      <c r="I645" s="5">
        <f t="shared" si="302"/>
        <v>42195.7</v>
      </c>
      <c r="J645" s="6">
        <f>+J647</f>
        <v>0</v>
      </c>
      <c r="K645" s="6">
        <f>+K647</f>
        <v>42195.7</v>
      </c>
      <c r="L645" s="6">
        <f>+L647</f>
        <v>0</v>
      </c>
      <c r="M645" s="7">
        <f>+M647</f>
        <v>0</v>
      </c>
      <c r="N645" s="5">
        <f t="shared" si="304"/>
        <v>257.25</v>
      </c>
      <c r="O645" s="6">
        <f>+O647</f>
        <v>0</v>
      </c>
      <c r="P645" s="6">
        <f>+P647</f>
        <v>257.25</v>
      </c>
      <c r="Q645" s="6">
        <f>+Q647</f>
        <v>0</v>
      </c>
      <c r="R645" s="7">
        <f>+R647</f>
        <v>0</v>
      </c>
      <c r="S645" s="26">
        <f t="shared" si="293"/>
        <v>6.0965927807809803E-3</v>
      </c>
      <c r="T645" s="27" t="str">
        <f t="shared" si="294"/>
        <v xml:space="preserve"> </v>
      </c>
      <c r="U645" s="27">
        <f t="shared" si="295"/>
        <v>6.0965927807809803E-3</v>
      </c>
      <c r="V645" s="27" t="str">
        <f t="shared" si="296"/>
        <v xml:space="preserve"> </v>
      </c>
      <c r="W645" s="27" t="str">
        <f t="shared" si="296"/>
        <v xml:space="preserve"> </v>
      </c>
    </row>
    <row r="646" spans="1:23" ht="16.5" x14ac:dyDescent="0.2">
      <c r="A646" s="72"/>
      <c r="B646" s="76"/>
      <c r="C646" s="4" t="s">
        <v>10</v>
      </c>
      <c r="D646" s="5"/>
      <c r="E646" s="6"/>
      <c r="F646" s="6"/>
      <c r="G646" s="6"/>
      <c r="H646" s="7"/>
      <c r="I646" s="5"/>
      <c r="J646" s="6"/>
      <c r="K646" s="6"/>
      <c r="L646" s="6"/>
      <c r="M646" s="7"/>
      <c r="N646" s="5"/>
      <c r="O646" s="6"/>
      <c r="P646" s="6"/>
      <c r="Q646" s="6"/>
      <c r="R646" s="7"/>
      <c r="S646" s="29" t="str">
        <f t="shared" si="293"/>
        <v xml:space="preserve"> </v>
      </c>
      <c r="T646" s="30" t="str">
        <f t="shared" si="294"/>
        <v xml:space="preserve"> </v>
      </c>
      <c r="U646" s="30" t="str">
        <f t="shared" si="295"/>
        <v xml:space="preserve"> </v>
      </c>
      <c r="V646" s="30" t="str">
        <f t="shared" si="296"/>
        <v xml:space="preserve"> </v>
      </c>
      <c r="W646" s="30" t="str">
        <f t="shared" si="296"/>
        <v xml:space="preserve"> </v>
      </c>
    </row>
    <row r="647" spans="1:23" s="38" customFormat="1" ht="25.5" customHeight="1" x14ac:dyDescent="0.2">
      <c r="A647" s="78"/>
      <c r="B647" s="79"/>
      <c r="C647" s="54" t="s">
        <v>220</v>
      </c>
      <c r="D647" s="55">
        <f>SUM(E647:H647)</f>
        <v>0</v>
      </c>
      <c r="E647" s="56">
        <f>+E648</f>
        <v>0</v>
      </c>
      <c r="F647" s="56">
        <f>+F648</f>
        <v>0</v>
      </c>
      <c r="G647" s="56">
        <f>+G648</f>
        <v>0</v>
      </c>
      <c r="H647" s="57">
        <f>+H648</f>
        <v>0</v>
      </c>
      <c r="I647" s="55">
        <f>SUM(J647:M647)</f>
        <v>42195.7</v>
      </c>
      <c r="J647" s="56">
        <f>+J648</f>
        <v>0</v>
      </c>
      <c r="K647" s="56">
        <f>+K648</f>
        <v>42195.7</v>
      </c>
      <c r="L647" s="56">
        <f>+L648</f>
        <v>0</v>
      </c>
      <c r="M647" s="57">
        <f>+M648</f>
        <v>0</v>
      </c>
      <c r="N647" s="55">
        <f>SUM(O647:R647)</f>
        <v>257.25</v>
      </c>
      <c r="O647" s="56">
        <f>+O648</f>
        <v>0</v>
      </c>
      <c r="P647" s="56">
        <f>+P648</f>
        <v>257.25</v>
      </c>
      <c r="Q647" s="56">
        <f>+Q648</f>
        <v>0</v>
      </c>
      <c r="R647" s="57">
        <f>+R648</f>
        <v>0</v>
      </c>
      <c r="S647" s="26">
        <f t="shared" si="293"/>
        <v>6.0965927807809803E-3</v>
      </c>
      <c r="T647" s="27" t="str">
        <f t="shared" si="294"/>
        <v xml:space="preserve"> </v>
      </c>
      <c r="U647" s="27">
        <f t="shared" si="295"/>
        <v>6.0965927807809803E-3</v>
      </c>
      <c r="V647" s="27" t="str">
        <f t="shared" si="296"/>
        <v xml:space="preserve"> </v>
      </c>
      <c r="W647" s="27" t="str">
        <f t="shared" si="296"/>
        <v xml:space="preserve"> </v>
      </c>
    </row>
    <row r="648" spans="1:23" ht="48" customHeight="1" x14ac:dyDescent="0.2">
      <c r="A648" s="74"/>
      <c r="B648" s="75"/>
      <c r="C648" s="4" t="s">
        <v>100</v>
      </c>
      <c r="D648" s="35">
        <f>SUM(E648:H648)</f>
        <v>0</v>
      </c>
      <c r="E648" s="36"/>
      <c r="F648" s="36">
        <v>0</v>
      </c>
      <c r="G648" s="36"/>
      <c r="H648" s="37"/>
      <c r="I648" s="35">
        <f>SUM(J648:M648)</f>
        <v>42195.7</v>
      </c>
      <c r="J648" s="36"/>
      <c r="K648" s="36">
        <v>42195.7</v>
      </c>
      <c r="L648" s="36"/>
      <c r="M648" s="37"/>
      <c r="N648" s="35">
        <f>SUM(O648:R648)</f>
        <v>257.25</v>
      </c>
      <c r="O648" s="36"/>
      <c r="P648" s="36">
        <v>257.25</v>
      </c>
      <c r="Q648" s="36"/>
      <c r="R648" s="37"/>
      <c r="S648" s="29">
        <f t="shared" si="293"/>
        <v>6.0965927807809803E-3</v>
      </c>
      <c r="T648" s="30" t="str">
        <f t="shared" si="294"/>
        <v xml:space="preserve"> </v>
      </c>
      <c r="U648" s="30">
        <f t="shared" si="295"/>
        <v>6.0965927807809803E-3</v>
      </c>
      <c r="V648" s="30" t="str">
        <f t="shared" si="296"/>
        <v xml:space="preserve"> </v>
      </c>
      <c r="W648" s="30" t="str">
        <f t="shared" si="296"/>
        <v xml:space="preserve"> </v>
      </c>
    </row>
    <row r="649" spans="1:23" ht="51" customHeight="1" x14ac:dyDescent="0.2">
      <c r="A649" s="72">
        <v>1168</v>
      </c>
      <c r="B649" s="76">
        <v>32001</v>
      </c>
      <c r="C649" s="1" t="s">
        <v>660</v>
      </c>
      <c r="D649" s="5">
        <f>SUM(E649:H649)</f>
        <v>216607.2</v>
      </c>
      <c r="E649" s="6">
        <f>+E651</f>
        <v>0</v>
      </c>
      <c r="F649" s="6">
        <f>+F651</f>
        <v>213169.90000000002</v>
      </c>
      <c r="G649" s="6">
        <f>+G651</f>
        <v>3437.3</v>
      </c>
      <c r="H649" s="7">
        <f>+H651</f>
        <v>0</v>
      </c>
      <c r="I649" s="5">
        <f>SUM(J649:M649)</f>
        <v>85778.2</v>
      </c>
      <c r="J649" s="6">
        <f>+J651</f>
        <v>0</v>
      </c>
      <c r="K649" s="6">
        <f>+K651</f>
        <v>74460.2</v>
      </c>
      <c r="L649" s="6">
        <f>+L651</f>
        <v>11318</v>
      </c>
      <c r="M649" s="7">
        <f>+M651</f>
        <v>0</v>
      </c>
      <c r="N649" s="5">
        <f>SUM(O649:R649)</f>
        <v>84351.22</v>
      </c>
      <c r="O649" s="6">
        <f>+O651</f>
        <v>0</v>
      </c>
      <c r="P649" s="6">
        <f>+P651</f>
        <v>73853.22</v>
      </c>
      <c r="Q649" s="6">
        <f>+Q651</f>
        <v>10498</v>
      </c>
      <c r="R649" s="7">
        <f>+R651</f>
        <v>0</v>
      </c>
      <c r="S649" s="29">
        <f t="shared" si="293"/>
        <v>0.98336430468347436</v>
      </c>
      <c r="T649" s="30" t="str">
        <f t="shared" si="294"/>
        <v xml:space="preserve"> </v>
      </c>
      <c r="U649" s="30">
        <f t="shared" si="295"/>
        <v>0.99184826256174441</v>
      </c>
      <c r="V649" s="30">
        <f t="shared" si="296"/>
        <v>0.92754903693232016</v>
      </c>
      <c r="W649" s="30" t="str">
        <f t="shared" si="296"/>
        <v xml:space="preserve"> </v>
      </c>
    </row>
    <row r="650" spans="1:23" ht="16.5" x14ac:dyDescent="0.2">
      <c r="A650" s="72"/>
      <c r="B650" s="76"/>
      <c r="C650" s="4" t="s">
        <v>10</v>
      </c>
      <c r="D650" s="5"/>
      <c r="E650" s="6"/>
      <c r="F650" s="6"/>
      <c r="G650" s="6"/>
      <c r="H650" s="7"/>
      <c r="I650" s="5"/>
      <c r="J650" s="6"/>
      <c r="K650" s="6"/>
      <c r="L650" s="6"/>
      <c r="M650" s="7"/>
      <c r="N650" s="5"/>
      <c r="O650" s="6"/>
      <c r="P650" s="6"/>
      <c r="Q650" s="6"/>
      <c r="R650" s="7"/>
      <c r="S650" s="29" t="str">
        <f t="shared" si="293"/>
        <v xml:space="preserve"> </v>
      </c>
      <c r="T650" s="30" t="str">
        <f t="shared" si="294"/>
        <v xml:space="preserve"> </v>
      </c>
      <c r="U650" s="30" t="str">
        <f t="shared" si="295"/>
        <v xml:space="preserve"> </v>
      </c>
      <c r="V650" s="30" t="str">
        <f t="shared" si="296"/>
        <v xml:space="preserve"> </v>
      </c>
      <c r="W650" s="30" t="str">
        <f t="shared" si="296"/>
        <v xml:space="preserve"> </v>
      </c>
    </row>
    <row r="651" spans="1:23" s="38" customFormat="1" ht="33.75" customHeight="1" x14ac:dyDescent="0.2">
      <c r="A651" s="78"/>
      <c r="B651" s="79"/>
      <c r="C651" s="54" t="s">
        <v>220</v>
      </c>
      <c r="D651" s="55">
        <f t="shared" ref="D651:D657" si="306">SUM(E651:H651)</f>
        <v>216607.2</v>
      </c>
      <c r="E651" s="56">
        <f>+E652+E653+E654+E655+E656</f>
        <v>0</v>
      </c>
      <c r="F651" s="56">
        <f>+F652+F653+F654+F655+F656</f>
        <v>213169.90000000002</v>
      </c>
      <c r="G651" s="56">
        <f>+G652+G653+G654+G655+G656</f>
        <v>3437.3</v>
      </c>
      <c r="H651" s="57">
        <f>+H652+H653+H654+H655+H656</f>
        <v>0</v>
      </c>
      <c r="I651" s="55">
        <f t="shared" ref="I651:I657" si="307">SUM(J651:M651)</f>
        <v>85778.2</v>
      </c>
      <c r="J651" s="56">
        <f>+J652+J653+J654+J655+J656</f>
        <v>0</v>
      </c>
      <c r="K651" s="56">
        <f>+K652+K653+K654+K655+K656</f>
        <v>74460.2</v>
      </c>
      <c r="L651" s="56">
        <f>+L652+L653+L654+L655+L656</f>
        <v>11318</v>
      </c>
      <c r="M651" s="57">
        <f>+M652+M653+M654+M655+M656</f>
        <v>0</v>
      </c>
      <c r="N651" s="55">
        <f t="shared" ref="N651:N657" si="308">SUM(O651:R651)</f>
        <v>84351.22</v>
      </c>
      <c r="O651" s="56">
        <f>+O652+O653+O654+O655+O656</f>
        <v>0</v>
      </c>
      <c r="P651" s="56">
        <f>+P652+P653+P654+P655+P656</f>
        <v>73853.22</v>
      </c>
      <c r="Q651" s="56">
        <f>+Q652+Q653+Q654+Q655+Q656</f>
        <v>10498</v>
      </c>
      <c r="R651" s="57">
        <f>+R652+R653+R654+R655+R656</f>
        <v>0</v>
      </c>
      <c r="S651" s="26">
        <f t="shared" si="293"/>
        <v>0.98336430468347436</v>
      </c>
      <c r="T651" s="27" t="str">
        <f t="shared" si="294"/>
        <v xml:space="preserve"> </v>
      </c>
      <c r="U651" s="27">
        <f t="shared" si="295"/>
        <v>0.99184826256174441</v>
      </c>
      <c r="V651" s="27">
        <f t="shared" si="296"/>
        <v>0.92754903693232016</v>
      </c>
      <c r="W651" s="27" t="str">
        <f t="shared" si="296"/>
        <v xml:space="preserve"> </v>
      </c>
    </row>
    <row r="652" spans="1:23" ht="24" customHeight="1" x14ac:dyDescent="0.2">
      <c r="A652" s="74"/>
      <c r="B652" s="75"/>
      <c r="C652" s="4" t="s">
        <v>103</v>
      </c>
      <c r="D652" s="35">
        <f t="shared" si="306"/>
        <v>138116.70000000001</v>
      </c>
      <c r="E652" s="36"/>
      <c r="F652" s="36">
        <v>138116.70000000001</v>
      </c>
      <c r="G652" s="36"/>
      <c r="H652" s="37"/>
      <c r="I652" s="35">
        <f t="shared" si="307"/>
        <v>0</v>
      </c>
      <c r="J652" s="36"/>
      <c r="K652" s="36">
        <v>0</v>
      </c>
      <c r="L652" s="36"/>
      <c r="M652" s="37"/>
      <c r="N652" s="35">
        <f t="shared" si="308"/>
        <v>0</v>
      </c>
      <c r="O652" s="36"/>
      <c r="P652" s="36">
        <v>0</v>
      </c>
      <c r="Q652" s="36"/>
      <c r="R652" s="37"/>
      <c r="S652" s="29" t="str">
        <f t="shared" si="293"/>
        <v xml:space="preserve"> </v>
      </c>
      <c r="T652" s="30" t="str">
        <f t="shared" si="294"/>
        <v xml:space="preserve"> </v>
      </c>
      <c r="U652" s="30" t="str">
        <f t="shared" si="295"/>
        <v xml:space="preserve"> </v>
      </c>
      <c r="V652" s="30" t="str">
        <f t="shared" si="296"/>
        <v xml:space="preserve"> </v>
      </c>
      <c r="W652" s="30" t="str">
        <f t="shared" si="296"/>
        <v xml:space="preserve"> </v>
      </c>
    </row>
    <row r="653" spans="1:23" ht="43.5" customHeight="1" x14ac:dyDescent="0.2">
      <c r="A653" s="74"/>
      <c r="B653" s="75"/>
      <c r="C653" s="4" t="s">
        <v>661</v>
      </c>
      <c r="D653" s="35">
        <f t="shared" si="306"/>
        <v>0</v>
      </c>
      <c r="E653" s="36"/>
      <c r="F653" s="36">
        <v>0</v>
      </c>
      <c r="G653" s="36"/>
      <c r="H653" s="37"/>
      <c r="I653" s="35">
        <f t="shared" si="307"/>
        <v>30203.200000000001</v>
      </c>
      <c r="J653" s="36"/>
      <c r="K653" s="36">
        <v>30203.200000000001</v>
      </c>
      <c r="L653" s="36"/>
      <c r="M653" s="37"/>
      <c r="N653" s="35">
        <f t="shared" si="308"/>
        <v>30155.3</v>
      </c>
      <c r="O653" s="36"/>
      <c r="P653" s="36">
        <v>30155.3</v>
      </c>
      <c r="Q653" s="36"/>
      <c r="R653" s="37"/>
      <c r="S653" s="29">
        <f t="shared" si="293"/>
        <v>0.99841407532976634</v>
      </c>
      <c r="T653" s="30" t="str">
        <f t="shared" si="294"/>
        <v xml:space="preserve"> </v>
      </c>
      <c r="U653" s="30">
        <f t="shared" si="295"/>
        <v>0.99841407532976634</v>
      </c>
      <c r="V653" s="30" t="str">
        <f t="shared" si="296"/>
        <v xml:space="preserve"> </v>
      </c>
      <c r="W653" s="30" t="str">
        <f t="shared" si="296"/>
        <v xml:space="preserve"> </v>
      </c>
    </row>
    <row r="654" spans="1:23" ht="80.25" customHeight="1" x14ac:dyDescent="0.2">
      <c r="A654" s="74"/>
      <c r="B654" s="75"/>
      <c r="C654" s="4" t="s">
        <v>662</v>
      </c>
      <c r="D654" s="35">
        <f t="shared" si="306"/>
        <v>78490.5</v>
      </c>
      <c r="E654" s="36"/>
      <c r="F654" s="36">
        <v>75053.2</v>
      </c>
      <c r="G654" s="36">
        <v>3437.3</v>
      </c>
      <c r="H654" s="37"/>
      <c r="I654" s="35">
        <f t="shared" si="307"/>
        <v>37102.199999999997</v>
      </c>
      <c r="J654" s="36"/>
      <c r="K654" s="36">
        <v>37102.199999999997</v>
      </c>
      <c r="L654" s="36">
        <v>0</v>
      </c>
      <c r="M654" s="37"/>
      <c r="N654" s="35">
        <f t="shared" si="308"/>
        <v>36974.68</v>
      </c>
      <c r="O654" s="36"/>
      <c r="P654" s="36">
        <v>36974.68</v>
      </c>
      <c r="Q654" s="36"/>
      <c r="R654" s="37"/>
      <c r="S654" s="29">
        <f t="shared" si="293"/>
        <v>0.99656300704540435</v>
      </c>
      <c r="T654" s="30" t="str">
        <f t="shared" si="294"/>
        <v xml:space="preserve"> </v>
      </c>
      <c r="U654" s="30">
        <f t="shared" si="295"/>
        <v>0.99656300704540435</v>
      </c>
      <c r="V654" s="30" t="str">
        <f t="shared" si="296"/>
        <v xml:space="preserve"> </v>
      </c>
      <c r="W654" s="30" t="str">
        <f t="shared" si="296"/>
        <v xml:space="preserve"> </v>
      </c>
    </row>
    <row r="655" spans="1:23" ht="57.75" customHeight="1" x14ac:dyDescent="0.2">
      <c r="A655" s="74"/>
      <c r="B655" s="75"/>
      <c r="C655" s="4" t="s">
        <v>663</v>
      </c>
      <c r="D655" s="35">
        <f t="shared" si="306"/>
        <v>0</v>
      </c>
      <c r="E655" s="36"/>
      <c r="F655" s="36">
        <v>0</v>
      </c>
      <c r="G655" s="36"/>
      <c r="H655" s="37"/>
      <c r="I655" s="35">
        <f t="shared" si="307"/>
        <v>7154.8</v>
      </c>
      <c r="J655" s="36"/>
      <c r="K655" s="36">
        <v>7154.8</v>
      </c>
      <c r="L655" s="36"/>
      <c r="M655" s="37"/>
      <c r="N655" s="35">
        <f t="shared" si="308"/>
        <v>6723.24</v>
      </c>
      <c r="O655" s="36"/>
      <c r="P655" s="36">
        <v>6723.24</v>
      </c>
      <c r="Q655" s="36"/>
      <c r="R655" s="37"/>
      <c r="S655" s="29">
        <f t="shared" si="293"/>
        <v>0.93968245094202485</v>
      </c>
      <c r="T655" s="30" t="str">
        <f t="shared" si="294"/>
        <v xml:space="preserve"> </v>
      </c>
      <c r="U655" s="30">
        <f t="shared" si="295"/>
        <v>0.93968245094202485</v>
      </c>
      <c r="V655" s="30" t="str">
        <f t="shared" si="296"/>
        <v xml:space="preserve"> </v>
      </c>
      <c r="W655" s="30" t="str">
        <f t="shared" si="296"/>
        <v xml:space="preserve"> </v>
      </c>
    </row>
    <row r="656" spans="1:23" ht="48.75" customHeight="1" x14ac:dyDescent="0.2">
      <c r="A656" s="74"/>
      <c r="B656" s="75"/>
      <c r="C656" s="4" t="s">
        <v>664</v>
      </c>
      <c r="D656" s="35">
        <f t="shared" si="306"/>
        <v>0</v>
      </c>
      <c r="E656" s="36"/>
      <c r="F656" s="36"/>
      <c r="G656" s="36">
        <v>0</v>
      </c>
      <c r="H656" s="37"/>
      <c r="I656" s="35">
        <f t="shared" si="307"/>
        <v>11318</v>
      </c>
      <c r="J656" s="36"/>
      <c r="K656" s="36"/>
      <c r="L656" s="36">
        <v>11318</v>
      </c>
      <c r="M656" s="37"/>
      <c r="N656" s="35">
        <f t="shared" si="308"/>
        <v>10498</v>
      </c>
      <c r="O656" s="36"/>
      <c r="P656" s="36"/>
      <c r="Q656" s="36">
        <v>10498</v>
      </c>
      <c r="R656" s="37"/>
      <c r="S656" s="29">
        <f t="shared" si="293"/>
        <v>0.92754903693232016</v>
      </c>
      <c r="T656" s="30" t="str">
        <f t="shared" si="294"/>
        <v xml:space="preserve"> </v>
      </c>
      <c r="U656" s="30" t="str">
        <f t="shared" si="295"/>
        <v xml:space="preserve"> </v>
      </c>
      <c r="V656" s="30">
        <f t="shared" si="296"/>
        <v>0.92754903693232016</v>
      </c>
      <c r="W656" s="30" t="str">
        <f t="shared" si="296"/>
        <v xml:space="preserve"> </v>
      </c>
    </row>
    <row r="657" spans="1:23" ht="79.5" customHeight="1" x14ac:dyDescent="0.2">
      <c r="A657" s="72">
        <v>1168</v>
      </c>
      <c r="B657" s="76">
        <v>32007</v>
      </c>
      <c r="C657" s="1" t="s">
        <v>104</v>
      </c>
      <c r="D657" s="5">
        <f t="shared" si="306"/>
        <v>767516.5</v>
      </c>
      <c r="E657" s="6">
        <f>+E659</f>
        <v>0</v>
      </c>
      <c r="F657" s="6">
        <f>+F659</f>
        <v>0</v>
      </c>
      <c r="G657" s="6">
        <f>+G659</f>
        <v>0</v>
      </c>
      <c r="H657" s="7">
        <f>+H659+767516.5</f>
        <v>767516.5</v>
      </c>
      <c r="I657" s="5">
        <f t="shared" si="307"/>
        <v>407698.7</v>
      </c>
      <c r="J657" s="6">
        <f>+J659</f>
        <v>0</v>
      </c>
      <c r="K657" s="6">
        <f>+K659</f>
        <v>0</v>
      </c>
      <c r="L657" s="6">
        <f>+L659</f>
        <v>0</v>
      </c>
      <c r="M657" s="7">
        <f>+M659</f>
        <v>407698.7</v>
      </c>
      <c r="N657" s="5">
        <f t="shared" si="308"/>
        <v>403595.51</v>
      </c>
      <c r="O657" s="6">
        <f>+O659</f>
        <v>0</v>
      </c>
      <c r="P657" s="6">
        <f>+P659</f>
        <v>0</v>
      </c>
      <c r="Q657" s="6">
        <f>+Q659</f>
        <v>0</v>
      </c>
      <c r="R657" s="7">
        <f>+R659</f>
        <v>403595.51</v>
      </c>
      <c r="S657" s="26">
        <f t="shared" si="293"/>
        <v>0.98993572949827902</v>
      </c>
      <c r="T657" s="27" t="str">
        <f t="shared" si="294"/>
        <v xml:space="preserve"> </v>
      </c>
      <c r="U657" s="27" t="str">
        <f t="shared" si="295"/>
        <v xml:space="preserve"> </v>
      </c>
      <c r="V657" s="27" t="str">
        <f t="shared" si="296"/>
        <v xml:space="preserve"> </v>
      </c>
      <c r="W657" s="27">
        <f t="shared" si="296"/>
        <v>0.98993572949827902</v>
      </c>
    </row>
    <row r="658" spans="1:23" ht="16.5" x14ac:dyDescent="0.2">
      <c r="A658" s="72"/>
      <c r="B658" s="76"/>
      <c r="C658" s="4" t="s">
        <v>10</v>
      </c>
      <c r="D658" s="5"/>
      <c r="E658" s="6"/>
      <c r="F658" s="6"/>
      <c r="G658" s="6"/>
      <c r="H658" s="7"/>
      <c r="I658" s="5"/>
      <c r="J658" s="6"/>
      <c r="K658" s="6"/>
      <c r="L658" s="6"/>
      <c r="M658" s="7"/>
      <c r="N658" s="5"/>
      <c r="O658" s="6"/>
      <c r="P658" s="6"/>
      <c r="Q658" s="6"/>
      <c r="R658" s="7"/>
      <c r="S658" s="29" t="str">
        <f t="shared" si="293"/>
        <v xml:space="preserve"> </v>
      </c>
      <c r="T658" s="30" t="str">
        <f t="shared" si="294"/>
        <v xml:space="preserve"> </v>
      </c>
      <c r="U658" s="30" t="str">
        <f t="shared" si="295"/>
        <v xml:space="preserve"> </v>
      </c>
      <c r="V658" s="30" t="str">
        <f t="shared" si="296"/>
        <v xml:space="preserve"> </v>
      </c>
      <c r="W658" s="30" t="str">
        <f t="shared" si="296"/>
        <v xml:space="preserve"> </v>
      </c>
    </row>
    <row r="659" spans="1:23" s="38" customFormat="1" ht="26.25" customHeight="1" x14ac:dyDescent="0.2">
      <c r="A659" s="78"/>
      <c r="B659" s="79"/>
      <c r="C659" s="54" t="s">
        <v>220</v>
      </c>
      <c r="D659" s="55">
        <f t="shared" ref="D659:D664" si="309">SUM(E659:H659)</f>
        <v>0</v>
      </c>
      <c r="E659" s="56">
        <f>+E660+E661+E662+E663</f>
        <v>0</v>
      </c>
      <c r="F659" s="56">
        <f>+F660+F661+F662+F663</f>
        <v>0</v>
      </c>
      <c r="G659" s="56">
        <f>+G660+G661+G662+G663</f>
        <v>0</v>
      </c>
      <c r="H659" s="57">
        <f>+H660+H661+H662+H663</f>
        <v>0</v>
      </c>
      <c r="I659" s="55">
        <f t="shared" ref="I659:I664" si="310">SUM(J659:M659)</f>
        <v>407698.7</v>
      </c>
      <c r="J659" s="56">
        <f>+J660+J661+J662+J663</f>
        <v>0</v>
      </c>
      <c r="K659" s="56">
        <f>+K660+K661+K662+K663</f>
        <v>0</v>
      </c>
      <c r="L659" s="56">
        <f>+L660+L661+L662+L663</f>
        <v>0</v>
      </c>
      <c r="M659" s="57">
        <f>+M660+M661+M662+M663</f>
        <v>407698.7</v>
      </c>
      <c r="N659" s="55">
        <f t="shared" ref="N659:N664" si="311">SUM(O659:R659)</f>
        <v>403595.51</v>
      </c>
      <c r="O659" s="56">
        <f>+O660+O661+O662+O663</f>
        <v>0</v>
      </c>
      <c r="P659" s="56">
        <f>+P660+P661+P662+P663</f>
        <v>0</v>
      </c>
      <c r="Q659" s="56">
        <f>+Q660+Q661+Q662+Q663</f>
        <v>0</v>
      </c>
      <c r="R659" s="57">
        <f>+R660+R661+R662+R663</f>
        <v>403595.51</v>
      </c>
      <c r="S659" s="26">
        <f t="shared" si="293"/>
        <v>0.98993572949827902</v>
      </c>
      <c r="T659" s="27" t="str">
        <f t="shared" si="294"/>
        <v xml:space="preserve"> </v>
      </c>
      <c r="U659" s="27" t="str">
        <f t="shared" si="295"/>
        <v xml:space="preserve"> </v>
      </c>
      <c r="V659" s="27" t="str">
        <f t="shared" si="296"/>
        <v xml:space="preserve"> </v>
      </c>
      <c r="W659" s="27">
        <f t="shared" si="296"/>
        <v>0.98993572949827902</v>
      </c>
    </row>
    <row r="660" spans="1:23" ht="48" customHeight="1" x14ac:dyDescent="0.2">
      <c r="A660" s="74"/>
      <c r="B660" s="75"/>
      <c r="C660" s="4" t="s">
        <v>665</v>
      </c>
      <c r="D660" s="35">
        <f t="shared" si="309"/>
        <v>0</v>
      </c>
      <c r="E660" s="36"/>
      <c r="F660" s="36"/>
      <c r="G660" s="36"/>
      <c r="H660" s="37">
        <v>0</v>
      </c>
      <c r="I660" s="35">
        <f t="shared" si="310"/>
        <v>45830.7</v>
      </c>
      <c r="J660" s="36"/>
      <c r="K660" s="36"/>
      <c r="L660" s="36"/>
      <c r="M660" s="37">
        <v>45830.7</v>
      </c>
      <c r="N660" s="35">
        <f t="shared" si="311"/>
        <v>45830.66</v>
      </c>
      <c r="O660" s="36"/>
      <c r="P660" s="36"/>
      <c r="Q660" s="36"/>
      <c r="R660" s="37">
        <v>45830.66</v>
      </c>
      <c r="S660" s="29">
        <f t="shared" si="293"/>
        <v>0.99999912722258233</v>
      </c>
      <c r="T660" s="30" t="str">
        <f t="shared" si="294"/>
        <v xml:space="preserve"> </v>
      </c>
      <c r="U660" s="30" t="str">
        <f t="shared" si="295"/>
        <v xml:space="preserve"> </v>
      </c>
      <c r="V660" s="30" t="str">
        <f t="shared" si="296"/>
        <v xml:space="preserve"> </v>
      </c>
      <c r="W660" s="30">
        <f t="shared" si="296"/>
        <v>0.99999912722258233</v>
      </c>
    </row>
    <row r="661" spans="1:23" ht="45.75" customHeight="1" x14ac:dyDescent="0.2">
      <c r="A661" s="74"/>
      <c r="B661" s="75"/>
      <c r="C661" s="4" t="s">
        <v>666</v>
      </c>
      <c r="D661" s="35">
        <f t="shared" si="309"/>
        <v>0</v>
      </c>
      <c r="E661" s="36"/>
      <c r="F661" s="36"/>
      <c r="G661" s="36"/>
      <c r="H661" s="37">
        <v>0</v>
      </c>
      <c r="I661" s="35">
        <f t="shared" si="310"/>
        <v>49985.9</v>
      </c>
      <c r="J661" s="36"/>
      <c r="K661" s="36"/>
      <c r="L661" s="36"/>
      <c r="M661" s="37">
        <v>49985.9</v>
      </c>
      <c r="N661" s="35">
        <f t="shared" si="311"/>
        <v>49562.82</v>
      </c>
      <c r="O661" s="36"/>
      <c r="P661" s="36"/>
      <c r="Q661" s="36"/>
      <c r="R661" s="37">
        <v>49562.82</v>
      </c>
      <c r="S661" s="29">
        <f t="shared" si="293"/>
        <v>0.99153601315570983</v>
      </c>
      <c r="T661" s="30" t="str">
        <f t="shared" si="294"/>
        <v xml:space="preserve"> </v>
      </c>
      <c r="U661" s="30" t="str">
        <f t="shared" si="295"/>
        <v xml:space="preserve"> </v>
      </c>
      <c r="V661" s="30" t="str">
        <f t="shared" si="296"/>
        <v xml:space="preserve"> </v>
      </c>
      <c r="W661" s="30">
        <f t="shared" si="296"/>
        <v>0.99153601315570983</v>
      </c>
    </row>
    <row r="662" spans="1:23" ht="43.5" customHeight="1" x14ac:dyDescent="0.2">
      <c r="A662" s="74"/>
      <c r="B662" s="75"/>
      <c r="C662" s="4" t="s">
        <v>667</v>
      </c>
      <c r="D662" s="35">
        <f t="shared" si="309"/>
        <v>0</v>
      </c>
      <c r="E662" s="36"/>
      <c r="F662" s="36"/>
      <c r="G662" s="36"/>
      <c r="H662" s="37">
        <v>0</v>
      </c>
      <c r="I662" s="35">
        <f t="shared" si="310"/>
        <v>153447.1</v>
      </c>
      <c r="J662" s="36"/>
      <c r="K662" s="36"/>
      <c r="L662" s="36"/>
      <c r="M662" s="37">
        <v>153447.1</v>
      </c>
      <c r="N662" s="35">
        <f t="shared" si="311"/>
        <v>149767.03</v>
      </c>
      <c r="O662" s="36"/>
      <c r="P662" s="36"/>
      <c r="Q662" s="36"/>
      <c r="R662" s="37">
        <v>149767.03</v>
      </c>
      <c r="S662" s="29">
        <f t="shared" si="293"/>
        <v>0.97601733757105869</v>
      </c>
      <c r="T662" s="30" t="str">
        <f t="shared" si="294"/>
        <v xml:space="preserve"> </v>
      </c>
      <c r="U662" s="30" t="str">
        <f t="shared" si="295"/>
        <v xml:space="preserve"> </v>
      </c>
      <c r="V662" s="30" t="str">
        <f t="shared" si="296"/>
        <v xml:space="preserve"> </v>
      </c>
      <c r="W662" s="30">
        <f t="shared" si="296"/>
        <v>0.97601733757105869</v>
      </c>
    </row>
    <row r="663" spans="1:23" ht="47.25" customHeight="1" x14ac:dyDescent="0.2">
      <c r="A663" s="74"/>
      <c r="B663" s="75"/>
      <c r="C663" s="4" t="s">
        <v>668</v>
      </c>
      <c r="D663" s="35">
        <f t="shared" si="309"/>
        <v>0</v>
      </c>
      <c r="E663" s="36"/>
      <c r="F663" s="36"/>
      <c r="G663" s="36"/>
      <c r="H663" s="37">
        <v>0</v>
      </c>
      <c r="I663" s="35">
        <f t="shared" si="310"/>
        <v>158435</v>
      </c>
      <c r="J663" s="36"/>
      <c r="K663" s="36"/>
      <c r="L663" s="36"/>
      <c r="M663" s="37">
        <v>158435</v>
      </c>
      <c r="N663" s="35">
        <f t="shared" si="311"/>
        <v>158435</v>
      </c>
      <c r="O663" s="36"/>
      <c r="P663" s="36"/>
      <c r="Q663" s="36"/>
      <c r="R663" s="37">
        <v>158435</v>
      </c>
      <c r="S663" s="29">
        <f t="shared" ref="S663:S726" si="312">IF(I663=0," ",N663/I663)</f>
        <v>1</v>
      </c>
      <c r="T663" s="30" t="str">
        <f t="shared" ref="T663:T726" si="313">IF(J663=0," ",O663/J663)</f>
        <v xml:space="preserve"> </v>
      </c>
      <c r="U663" s="30" t="str">
        <f t="shared" ref="U663:U726" si="314">IF(K663=0," ",P663/K663)</f>
        <v xml:space="preserve"> </v>
      </c>
      <c r="V663" s="30" t="str">
        <f t="shared" ref="V663:W726" si="315">IF(L663=0," ",Q663/L663)</f>
        <v xml:space="preserve"> </v>
      </c>
      <c r="W663" s="30">
        <f t="shared" si="315"/>
        <v>1</v>
      </c>
    </row>
    <row r="664" spans="1:23" ht="56.25" customHeight="1" x14ac:dyDescent="0.2">
      <c r="A664" s="72">
        <v>1183</v>
      </c>
      <c r="B664" s="76">
        <v>32001</v>
      </c>
      <c r="C664" s="1" t="s">
        <v>34</v>
      </c>
      <c r="D664" s="5">
        <f t="shared" si="309"/>
        <v>257592.6</v>
      </c>
      <c r="E664" s="6">
        <f>+E666+E668+E679+E687+E695+E713+E720+E742</f>
        <v>0</v>
      </c>
      <c r="F664" s="6">
        <f>+F666+F668+F679+F687+F695+F713+F720+F742</f>
        <v>257592.6</v>
      </c>
      <c r="G664" s="6">
        <f>+G666+G668+G679+G687+G695+G713+G720+G742</f>
        <v>0</v>
      </c>
      <c r="H664" s="7">
        <f>+H666+H668+H679+H687+H695+H713+H720+H742</f>
        <v>0</v>
      </c>
      <c r="I664" s="5">
        <f t="shared" si="310"/>
        <v>1518175.4</v>
      </c>
      <c r="J664" s="6">
        <f>+J666+J668+J679+J687+J695+J713+J720+J742</f>
        <v>0</v>
      </c>
      <c r="K664" s="6">
        <f>+K666+K668+K679+K687+K695+K713+K720+K742</f>
        <v>1518175.4</v>
      </c>
      <c r="L664" s="6">
        <f>+L666+L668+L679+L687+L695+L713+L720+L742</f>
        <v>0</v>
      </c>
      <c r="M664" s="7">
        <f>+M666+M668+M679+M687+M695+M713+M720+M742</f>
        <v>0</v>
      </c>
      <c r="N664" s="5">
        <f t="shared" si="311"/>
        <v>1283078.06</v>
      </c>
      <c r="O664" s="6">
        <f>+O666+O668+O679+O687+O695+O713+O720+O742</f>
        <v>0</v>
      </c>
      <c r="P664" s="6">
        <f>+P666+P668+P679+P687+P695+P713+P720+P742</f>
        <v>1283078.06</v>
      </c>
      <c r="Q664" s="6">
        <f>+Q666+Q668+Q679+Q687+Q695+Q713+Q720+Q742</f>
        <v>0</v>
      </c>
      <c r="R664" s="7">
        <f>+R666+R668+R679+R687+R695+R713+R720+R742</f>
        <v>0</v>
      </c>
      <c r="S664" s="26">
        <f t="shared" si="312"/>
        <v>0.84514481001338848</v>
      </c>
      <c r="T664" s="27" t="str">
        <f t="shared" si="313"/>
        <v xml:space="preserve"> </v>
      </c>
      <c r="U664" s="27">
        <f t="shared" si="314"/>
        <v>0.84514481001338848</v>
      </c>
      <c r="V664" s="27" t="str">
        <f t="shared" si="315"/>
        <v xml:space="preserve"> </v>
      </c>
      <c r="W664" s="27" t="str">
        <f t="shared" si="315"/>
        <v xml:space="preserve"> </v>
      </c>
    </row>
    <row r="665" spans="1:23" ht="16.5" x14ac:dyDescent="0.2">
      <c r="A665" s="72"/>
      <c r="B665" s="76"/>
      <c r="C665" s="4" t="s">
        <v>10</v>
      </c>
      <c r="D665" s="5"/>
      <c r="E665" s="6"/>
      <c r="F665" s="6"/>
      <c r="G665" s="6"/>
      <c r="H665" s="7"/>
      <c r="I665" s="5"/>
      <c r="J665" s="6"/>
      <c r="K665" s="6"/>
      <c r="L665" s="6"/>
      <c r="M665" s="7"/>
      <c r="N665" s="5"/>
      <c r="O665" s="6"/>
      <c r="P665" s="6"/>
      <c r="Q665" s="6"/>
      <c r="R665" s="7"/>
      <c r="S665" s="29" t="str">
        <f t="shared" si="312"/>
        <v xml:space="preserve"> </v>
      </c>
      <c r="T665" s="30" t="str">
        <f t="shared" si="313"/>
        <v xml:space="preserve"> </v>
      </c>
      <c r="U665" s="30" t="str">
        <f t="shared" si="314"/>
        <v xml:space="preserve"> </v>
      </c>
      <c r="V665" s="30" t="str">
        <f t="shared" si="315"/>
        <v xml:space="preserve"> </v>
      </c>
      <c r="W665" s="30" t="str">
        <f t="shared" si="315"/>
        <v xml:space="preserve"> </v>
      </c>
    </row>
    <row r="666" spans="1:23" s="38" customFormat="1" ht="22.5" customHeight="1" x14ac:dyDescent="0.2">
      <c r="A666" s="78"/>
      <c r="B666" s="79"/>
      <c r="C666" s="54" t="s">
        <v>220</v>
      </c>
      <c r="D666" s="55">
        <f>SUM(E666:H666)</f>
        <v>257592.6</v>
      </c>
      <c r="E666" s="56">
        <f>+E667</f>
        <v>0</v>
      </c>
      <c r="F666" s="56">
        <f>+F667</f>
        <v>257592.6</v>
      </c>
      <c r="G666" s="56">
        <f>+G667</f>
        <v>0</v>
      </c>
      <c r="H666" s="57">
        <f>+H667</f>
        <v>0</v>
      </c>
      <c r="I666" s="55">
        <f>SUM(J666:M666)</f>
        <v>0</v>
      </c>
      <c r="J666" s="56">
        <f>+J667</f>
        <v>0</v>
      </c>
      <c r="K666" s="56">
        <f>+K667</f>
        <v>0</v>
      </c>
      <c r="L666" s="56">
        <f>+L667</f>
        <v>0</v>
      </c>
      <c r="M666" s="57">
        <f>+M667</f>
        <v>0</v>
      </c>
      <c r="N666" s="55">
        <f>SUM(O666:R666)</f>
        <v>0</v>
      </c>
      <c r="O666" s="56">
        <f>+O667</f>
        <v>0</v>
      </c>
      <c r="P666" s="56">
        <f>+P667</f>
        <v>0</v>
      </c>
      <c r="Q666" s="56">
        <f>+Q667</f>
        <v>0</v>
      </c>
      <c r="R666" s="57">
        <f>+R667</f>
        <v>0</v>
      </c>
      <c r="S666" s="26" t="str">
        <f t="shared" si="312"/>
        <v xml:space="preserve"> </v>
      </c>
      <c r="T666" s="27" t="str">
        <f t="shared" si="313"/>
        <v xml:space="preserve"> </v>
      </c>
      <c r="U666" s="27" t="str">
        <f t="shared" si="314"/>
        <v xml:space="preserve"> </v>
      </c>
      <c r="V666" s="27" t="str">
        <f t="shared" si="315"/>
        <v xml:space="preserve"> </v>
      </c>
      <c r="W666" s="27" t="str">
        <f t="shared" si="315"/>
        <v xml:space="preserve"> </v>
      </c>
    </row>
    <row r="667" spans="1:23" ht="36.75" customHeight="1" x14ac:dyDescent="0.2">
      <c r="A667" s="74"/>
      <c r="B667" s="75"/>
      <c r="C667" s="4" t="s">
        <v>105</v>
      </c>
      <c r="D667" s="35">
        <f>SUM(E667:H667)</f>
        <v>257592.6</v>
      </c>
      <c r="E667" s="36"/>
      <c r="F667" s="62">
        <v>257592.6</v>
      </c>
      <c r="G667" s="36"/>
      <c r="H667" s="37"/>
      <c r="I667" s="35">
        <f>SUM(J667:M667)</f>
        <v>0</v>
      </c>
      <c r="J667" s="36"/>
      <c r="K667" s="62">
        <v>0</v>
      </c>
      <c r="L667" s="36"/>
      <c r="M667" s="37"/>
      <c r="N667" s="35">
        <f>SUM(O667:R667)</f>
        <v>0</v>
      </c>
      <c r="O667" s="36"/>
      <c r="P667" s="62">
        <v>0</v>
      </c>
      <c r="Q667" s="36"/>
      <c r="R667" s="37"/>
      <c r="S667" s="29" t="str">
        <f t="shared" si="312"/>
        <v xml:space="preserve"> </v>
      </c>
      <c r="T667" s="30" t="str">
        <f t="shared" si="313"/>
        <v xml:space="preserve"> </v>
      </c>
      <c r="U667" s="30" t="str">
        <f t="shared" si="314"/>
        <v xml:space="preserve"> </v>
      </c>
      <c r="V667" s="30" t="str">
        <f t="shared" si="315"/>
        <v xml:space="preserve"> </v>
      </c>
      <c r="W667" s="30" t="str">
        <f t="shared" si="315"/>
        <v xml:space="preserve"> </v>
      </c>
    </row>
    <row r="668" spans="1:23" s="38" customFormat="1" ht="29.25" customHeight="1" x14ac:dyDescent="0.2">
      <c r="A668" s="78"/>
      <c r="B668" s="79"/>
      <c r="C668" s="54" t="s">
        <v>223</v>
      </c>
      <c r="D668" s="55">
        <f>SUM(E668:H668)</f>
        <v>0</v>
      </c>
      <c r="E668" s="56">
        <f>+E669+E670+E671+E672+E673+E674+E675+E676+E677+E678</f>
        <v>0</v>
      </c>
      <c r="F668" s="56">
        <f>+F669+F670+F671+F672+F673+F674+F675+F676+F677+F678</f>
        <v>0</v>
      </c>
      <c r="G668" s="56">
        <f>+G669+G670+G671+G672+G673+G674+G675+G676+G677+G678</f>
        <v>0</v>
      </c>
      <c r="H668" s="57">
        <f>+H669+H670+H671+H672+H673+H674+H675+H676+H677+H678</f>
        <v>0</v>
      </c>
      <c r="I668" s="55">
        <f>SUM(J668:M668)</f>
        <v>161437.29999999999</v>
      </c>
      <c r="J668" s="56">
        <f>+J669+J670+J671+J672+J673+J674+J675+J676+J677+J678</f>
        <v>0</v>
      </c>
      <c r="K668" s="56">
        <f>+K669+K670+K671+K672+K673+K674+K675+K676+K677+K678</f>
        <v>161437.29999999999</v>
      </c>
      <c r="L668" s="56">
        <f>+L669+L670+L671+L672+L673+L674+L675+L676+L677+L678</f>
        <v>0</v>
      </c>
      <c r="M668" s="57">
        <f>+M669+M670+M671+M672+M673+M674+M675+M676+M677+M678</f>
        <v>0</v>
      </c>
      <c r="N668" s="55">
        <f>SUM(O668:R668)</f>
        <v>52668.61</v>
      </c>
      <c r="O668" s="56">
        <f>+O669+O670+O671+O672+O673+O674+O675+O676+O677+O678</f>
        <v>0</v>
      </c>
      <c r="P668" s="56">
        <f>+P669+P670+P671+P672+P673+P674+P675+P676+P677+P678</f>
        <v>52668.61</v>
      </c>
      <c r="Q668" s="56">
        <f>+Q669+Q670+Q671+Q672+Q673+Q674+Q675+Q676+Q677+Q678</f>
        <v>0</v>
      </c>
      <c r="R668" s="57">
        <f>+R669+R670+R671+R672+R673+R674+R675+R676+R677+R678</f>
        <v>0</v>
      </c>
      <c r="S668" s="26">
        <f t="shared" si="312"/>
        <v>0.32624808516990811</v>
      </c>
      <c r="T668" s="27" t="str">
        <f t="shared" si="313"/>
        <v xml:space="preserve"> </v>
      </c>
      <c r="U668" s="27">
        <f t="shared" si="314"/>
        <v>0.32624808516990811</v>
      </c>
      <c r="V668" s="27" t="str">
        <f t="shared" si="315"/>
        <v xml:space="preserve"> </v>
      </c>
      <c r="W668" s="27" t="str">
        <f t="shared" si="315"/>
        <v xml:space="preserve"> </v>
      </c>
    </row>
    <row r="669" spans="1:23" ht="47.25" customHeight="1" x14ac:dyDescent="0.2">
      <c r="A669" s="74"/>
      <c r="B669" s="75"/>
      <c r="C669" s="4" t="s">
        <v>669</v>
      </c>
      <c r="D669" s="35">
        <f>SUM(E669:H669)</f>
        <v>0</v>
      </c>
      <c r="E669" s="36"/>
      <c r="F669" s="62">
        <v>0</v>
      </c>
      <c r="G669" s="36"/>
      <c r="H669" s="37"/>
      <c r="I669" s="35">
        <f>SUM(J669:M669)</f>
        <v>12120.1</v>
      </c>
      <c r="J669" s="36"/>
      <c r="K669" s="62">
        <v>12120.1</v>
      </c>
      <c r="L669" s="36"/>
      <c r="M669" s="37"/>
      <c r="N669" s="35">
        <f>SUM(O669:R669)</f>
        <v>12119.89</v>
      </c>
      <c r="O669" s="36"/>
      <c r="P669" s="62">
        <v>12119.89</v>
      </c>
      <c r="Q669" s="36"/>
      <c r="R669" s="37"/>
      <c r="S669" s="29">
        <f t="shared" si="312"/>
        <v>0.99998267341028535</v>
      </c>
      <c r="T669" s="30" t="str">
        <f t="shared" si="313"/>
        <v xml:space="preserve"> </v>
      </c>
      <c r="U669" s="30">
        <f t="shared" si="314"/>
        <v>0.99998267341028535</v>
      </c>
      <c r="V669" s="30" t="str">
        <f t="shared" si="315"/>
        <v xml:space="preserve"> </v>
      </c>
      <c r="W669" s="30" t="str">
        <f t="shared" si="315"/>
        <v xml:space="preserve"> </v>
      </c>
    </row>
    <row r="670" spans="1:23" ht="43.5" customHeight="1" x14ac:dyDescent="0.2">
      <c r="A670" s="74"/>
      <c r="B670" s="75"/>
      <c r="C670" s="4" t="s">
        <v>670</v>
      </c>
      <c r="D670" s="35">
        <f t="shared" ref="D670:D678" si="316">SUM(E670:H670)</f>
        <v>0</v>
      </c>
      <c r="E670" s="36"/>
      <c r="F670" s="62">
        <v>0</v>
      </c>
      <c r="G670" s="36"/>
      <c r="H670" s="37"/>
      <c r="I670" s="35">
        <f t="shared" ref="I670:I678" si="317">SUM(J670:M670)</f>
        <v>19269.8</v>
      </c>
      <c r="J670" s="36"/>
      <c r="K670" s="62">
        <v>19269.8</v>
      </c>
      <c r="L670" s="36"/>
      <c r="M670" s="37"/>
      <c r="N670" s="35">
        <f t="shared" ref="N670:N678" si="318">SUM(O670:R670)</f>
        <v>355.42</v>
      </c>
      <c r="O670" s="36"/>
      <c r="P670" s="62">
        <v>355.42</v>
      </c>
      <c r="Q670" s="36"/>
      <c r="R670" s="37"/>
      <c r="S670" s="29">
        <f t="shared" si="312"/>
        <v>1.8444405235134773E-2</v>
      </c>
      <c r="T670" s="30" t="str">
        <f t="shared" si="313"/>
        <v xml:space="preserve"> </v>
      </c>
      <c r="U670" s="30">
        <f t="shared" si="314"/>
        <v>1.8444405235134773E-2</v>
      </c>
      <c r="V670" s="30" t="str">
        <f t="shared" si="315"/>
        <v xml:space="preserve"> </v>
      </c>
      <c r="W670" s="30" t="str">
        <f t="shared" si="315"/>
        <v xml:space="preserve"> </v>
      </c>
    </row>
    <row r="671" spans="1:23" ht="50.25" customHeight="1" x14ac:dyDescent="0.2">
      <c r="A671" s="74"/>
      <c r="B671" s="75"/>
      <c r="C671" s="4" t="s">
        <v>671</v>
      </c>
      <c r="D671" s="35">
        <f t="shared" si="316"/>
        <v>0</v>
      </c>
      <c r="E671" s="36"/>
      <c r="F671" s="62">
        <v>0</v>
      </c>
      <c r="G671" s="36"/>
      <c r="H671" s="37"/>
      <c r="I671" s="35">
        <f t="shared" si="317"/>
        <v>24450.6</v>
      </c>
      <c r="J671" s="36"/>
      <c r="K671" s="62">
        <v>24450.6</v>
      </c>
      <c r="L671" s="36"/>
      <c r="M671" s="37"/>
      <c r="N671" s="35">
        <f t="shared" si="318"/>
        <v>707.9</v>
      </c>
      <c r="O671" s="36"/>
      <c r="P671" s="62">
        <v>707.9</v>
      </c>
      <c r="Q671" s="36"/>
      <c r="R671" s="37"/>
      <c r="S671" s="29">
        <f t="shared" si="312"/>
        <v>2.8952254750394674E-2</v>
      </c>
      <c r="T671" s="30" t="str">
        <f t="shared" si="313"/>
        <v xml:space="preserve"> </v>
      </c>
      <c r="U671" s="30">
        <f t="shared" si="314"/>
        <v>2.8952254750394674E-2</v>
      </c>
      <c r="V671" s="30" t="str">
        <f t="shared" si="315"/>
        <v xml:space="preserve"> </v>
      </c>
      <c r="W671" s="30" t="str">
        <f t="shared" si="315"/>
        <v xml:space="preserve"> </v>
      </c>
    </row>
    <row r="672" spans="1:23" ht="61.5" customHeight="1" x14ac:dyDescent="0.2">
      <c r="A672" s="74"/>
      <c r="B672" s="75"/>
      <c r="C672" s="4" t="s">
        <v>672</v>
      </c>
      <c r="D672" s="35">
        <f t="shared" si="316"/>
        <v>0</v>
      </c>
      <c r="E672" s="36"/>
      <c r="F672" s="62">
        <v>0</v>
      </c>
      <c r="G672" s="36"/>
      <c r="H672" s="37"/>
      <c r="I672" s="35">
        <f t="shared" si="317"/>
        <v>13374.7</v>
      </c>
      <c r="J672" s="36"/>
      <c r="K672" s="62">
        <v>13374.7</v>
      </c>
      <c r="L672" s="36"/>
      <c r="M672" s="37"/>
      <c r="N672" s="35">
        <f t="shared" si="318"/>
        <v>0</v>
      </c>
      <c r="O672" s="36"/>
      <c r="P672" s="62">
        <v>0</v>
      </c>
      <c r="Q672" s="36"/>
      <c r="R672" s="37"/>
      <c r="S672" s="29">
        <f t="shared" si="312"/>
        <v>0</v>
      </c>
      <c r="T672" s="30" t="str">
        <f t="shared" si="313"/>
        <v xml:space="preserve"> </v>
      </c>
      <c r="U672" s="30">
        <f t="shared" si="314"/>
        <v>0</v>
      </c>
      <c r="V672" s="30" t="str">
        <f t="shared" si="315"/>
        <v xml:space="preserve"> </v>
      </c>
      <c r="W672" s="30" t="str">
        <f t="shared" si="315"/>
        <v xml:space="preserve"> </v>
      </c>
    </row>
    <row r="673" spans="1:23" ht="32.25" customHeight="1" x14ac:dyDescent="0.2">
      <c r="A673" s="74"/>
      <c r="B673" s="75"/>
      <c r="C673" s="4" t="s">
        <v>673</v>
      </c>
      <c r="D673" s="35">
        <f t="shared" si="316"/>
        <v>0</v>
      </c>
      <c r="E673" s="36"/>
      <c r="F673" s="62">
        <v>0</v>
      </c>
      <c r="G673" s="36"/>
      <c r="H673" s="37"/>
      <c r="I673" s="35">
        <f t="shared" si="317"/>
        <v>7988.7</v>
      </c>
      <c r="J673" s="36"/>
      <c r="K673" s="62">
        <v>7988.7</v>
      </c>
      <c r="L673" s="36"/>
      <c r="M673" s="37"/>
      <c r="N673" s="35">
        <f t="shared" si="318"/>
        <v>7785.7</v>
      </c>
      <c r="O673" s="36"/>
      <c r="P673" s="62">
        <v>7785.7</v>
      </c>
      <c r="Q673" s="36"/>
      <c r="R673" s="37"/>
      <c r="S673" s="29">
        <f t="shared" si="312"/>
        <v>0.9745891071137982</v>
      </c>
      <c r="T673" s="30" t="str">
        <f t="shared" si="313"/>
        <v xml:space="preserve"> </v>
      </c>
      <c r="U673" s="30">
        <f t="shared" si="314"/>
        <v>0.9745891071137982</v>
      </c>
      <c r="V673" s="30" t="str">
        <f t="shared" si="315"/>
        <v xml:space="preserve"> </v>
      </c>
      <c r="W673" s="30" t="str">
        <f t="shared" si="315"/>
        <v xml:space="preserve"> </v>
      </c>
    </row>
    <row r="674" spans="1:23" ht="42" customHeight="1" x14ac:dyDescent="0.2">
      <c r="A674" s="74"/>
      <c r="B674" s="75"/>
      <c r="C674" s="4" t="s">
        <v>674</v>
      </c>
      <c r="D674" s="35">
        <f t="shared" si="316"/>
        <v>0</v>
      </c>
      <c r="E674" s="36"/>
      <c r="F674" s="62">
        <v>0</v>
      </c>
      <c r="G674" s="36"/>
      <c r="H674" s="37"/>
      <c r="I674" s="35">
        <f t="shared" si="317"/>
        <v>10222.4</v>
      </c>
      <c r="J674" s="36"/>
      <c r="K674" s="62">
        <v>10222.4</v>
      </c>
      <c r="L674" s="36"/>
      <c r="M674" s="37"/>
      <c r="N674" s="35">
        <f t="shared" si="318"/>
        <v>0</v>
      </c>
      <c r="O674" s="36"/>
      <c r="P674" s="62">
        <v>0</v>
      </c>
      <c r="Q674" s="36"/>
      <c r="R674" s="37"/>
      <c r="S674" s="29">
        <f t="shared" si="312"/>
        <v>0</v>
      </c>
      <c r="T674" s="30" t="str">
        <f t="shared" si="313"/>
        <v xml:space="preserve"> </v>
      </c>
      <c r="U674" s="30">
        <f t="shared" si="314"/>
        <v>0</v>
      </c>
      <c r="V674" s="30" t="str">
        <f t="shared" si="315"/>
        <v xml:space="preserve"> </v>
      </c>
      <c r="W674" s="30" t="str">
        <f t="shared" si="315"/>
        <v xml:space="preserve"> </v>
      </c>
    </row>
    <row r="675" spans="1:23" ht="45.75" customHeight="1" x14ac:dyDescent="0.2">
      <c r="A675" s="74"/>
      <c r="B675" s="75"/>
      <c r="C675" s="4" t="s">
        <v>675</v>
      </c>
      <c r="D675" s="35">
        <f t="shared" si="316"/>
        <v>0</v>
      </c>
      <c r="E675" s="36"/>
      <c r="F675" s="62">
        <v>0</v>
      </c>
      <c r="G675" s="36"/>
      <c r="H675" s="37"/>
      <c r="I675" s="35">
        <f t="shared" si="317"/>
        <v>3422</v>
      </c>
      <c r="J675" s="36"/>
      <c r="K675" s="62">
        <v>3422</v>
      </c>
      <c r="L675" s="36"/>
      <c r="M675" s="37"/>
      <c r="N675" s="35">
        <f t="shared" si="318"/>
        <v>0</v>
      </c>
      <c r="O675" s="36"/>
      <c r="P675" s="62">
        <v>0</v>
      </c>
      <c r="Q675" s="36"/>
      <c r="R675" s="37"/>
      <c r="S675" s="29">
        <f t="shared" si="312"/>
        <v>0</v>
      </c>
      <c r="T675" s="30" t="str">
        <f t="shared" si="313"/>
        <v xml:space="preserve"> </v>
      </c>
      <c r="U675" s="30">
        <f t="shared" si="314"/>
        <v>0</v>
      </c>
      <c r="V675" s="30" t="str">
        <f t="shared" si="315"/>
        <v xml:space="preserve"> </v>
      </c>
      <c r="W675" s="30" t="str">
        <f t="shared" si="315"/>
        <v xml:space="preserve"> </v>
      </c>
    </row>
    <row r="676" spans="1:23" ht="50.25" customHeight="1" x14ac:dyDescent="0.2">
      <c r="A676" s="74"/>
      <c r="B676" s="75"/>
      <c r="C676" s="4" t="s">
        <v>676</v>
      </c>
      <c r="D676" s="35">
        <f t="shared" si="316"/>
        <v>0</v>
      </c>
      <c r="E676" s="36"/>
      <c r="F676" s="62">
        <v>0</v>
      </c>
      <c r="G676" s="36"/>
      <c r="H676" s="37"/>
      <c r="I676" s="35">
        <f t="shared" si="317"/>
        <v>9234</v>
      </c>
      <c r="J676" s="36"/>
      <c r="K676" s="62">
        <v>9234</v>
      </c>
      <c r="L676" s="36"/>
      <c r="M676" s="37"/>
      <c r="N676" s="35">
        <f t="shared" si="318"/>
        <v>9000</v>
      </c>
      <c r="O676" s="36"/>
      <c r="P676" s="62">
        <v>9000</v>
      </c>
      <c r="Q676" s="36"/>
      <c r="R676" s="37"/>
      <c r="S676" s="29">
        <f t="shared" si="312"/>
        <v>0.97465886939571145</v>
      </c>
      <c r="T676" s="30" t="str">
        <f t="shared" si="313"/>
        <v xml:space="preserve"> </v>
      </c>
      <c r="U676" s="30">
        <f t="shared" si="314"/>
        <v>0.97465886939571145</v>
      </c>
      <c r="V676" s="30" t="str">
        <f t="shared" si="315"/>
        <v xml:space="preserve"> </v>
      </c>
      <c r="W676" s="30" t="str">
        <f t="shared" si="315"/>
        <v xml:space="preserve"> </v>
      </c>
    </row>
    <row r="677" spans="1:23" ht="42" customHeight="1" x14ac:dyDescent="0.2">
      <c r="A677" s="74"/>
      <c r="B677" s="75"/>
      <c r="C677" s="4" t="s">
        <v>677</v>
      </c>
      <c r="D677" s="35">
        <f t="shared" si="316"/>
        <v>0</v>
      </c>
      <c r="E677" s="36"/>
      <c r="F677" s="62">
        <v>0</v>
      </c>
      <c r="G677" s="36"/>
      <c r="H677" s="37"/>
      <c r="I677" s="35">
        <f t="shared" si="317"/>
        <v>51095</v>
      </c>
      <c r="J677" s="36"/>
      <c r="K677" s="62">
        <v>51095</v>
      </c>
      <c r="L677" s="36"/>
      <c r="M677" s="37"/>
      <c r="N677" s="35">
        <f t="shared" si="318"/>
        <v>12499.7</v>
      </c>
      <c r="O677" s="36"/>
      <c r="P677" s="62">
        <v>12499.7</v>
      </c>
      <c r="Q677" s="36"/>
      <c r="R677" s="37"/>
      <c r="S677" s="29">
        <f t="shared" si="312"/>
        <v>0.24463646149329682</v>
      </c>
      <c r="T677" s="30" t="str">
        <f t="shared" si="313"/>
        <v xml:space="preserve"> </v>
      </c>
      <c r="U677" s="30">
        <f t="shared" si="314"/>
        <v>0.24463646149329682</v>
      </c>
      <c r="V677" s="30" t="str">
        <f t="shared" si="315"/>
        <v xml:space="preserve"> </v>
      </c>
      <c r="W677" s="30" t="str">
        <f t="shared" si="315"/>
        <v xml:space="preserve"> </v>
      </c>
    </row>
    <row r="678" spans="1:23" ht="31.5" customHeight="1" x14ac:dyDescent="0.2">
      <c r="A678" s="74"/>
      <c r="B678" s="75"/>
      <c r="C678" s="4" t="s">
        <v>678</v>
      </c>
      <c r="D678" s="35">
        <f t="shared" si="316"/>
        <v>0</v>
      </c>
      <c r="E678" s="36"/>
      <c r="F678" s="62">
        <v>0</v>
      </c>
      <c r="G678" s="36"/>
      <c r="H678" s="37"/>
      <c r="I678" s="35">
        <f t="shared" si="317"/>
        <v>10260</v>
      </c>
      <c r="J678" s="36"/>
      <c r="K678" s="62">
        <v>10260</v>
      </c>
      <c r="L678" s="36"/>
      <c r="M678" s="37"/>
      <c r="N678" s="35">
        <f t="shared" si="318"/>
        <v>10200</v>
      </c>
      <c r="O678" s="36"/>
      <c r="P678" s="62">
        <v>10200</v>
      </c>
      <c r="Q678" s="36"/>
      <c r="R678" s="37"/>
      <c r="S678" s="29">
        <f t="shared" si="312"/>
        <v>0.99415204678362568</v>
      </c>
      <c r="T678" s="30" t="str">
        <f t="shared" si="313"/>
        <v xml:space="preserve"> </v>
      </c>
      <c r="U678" s="30">
        <f t="shared" si="314"/>
        <v>0.99415204678362568</v>
      </c>
      <c r="V678" s="30" t="str">
        <f t="shared" si="315"/>
        <v xml:space="preserve"> </v>
      </c>
      <c r="W678" s="30" t="str">
        <f t="shared" si="315"/>
        <v xml:space="preserve"> </v>
      </c>
    </row>
    <row r="679" spans="1:23" s="38" customFormat="1" ht="30.75" customHeight="1" x14ac:dyDescent="0.2">
      <c r="A679" s="78"/>
      <c r="B679" s="79"/>
      <c r="C679" s="54" t="s">
        <v>227</v>
      </c>
      <c r="D679" s="55">
        <f>SUM(E679:H679)</f>
        <v>0</v>
      </c>
      <c r="E679" s="56">
        <f>+E680+E681+E682+E683+E684+E685+E686</f>
        <v>0</v>
      </c>
      <c r="F679" s="56">
        <f>+F680+F681+F682+F683+F684+F685+F686</f>
        <v>0</v>
      </c>
      <c r="G679" s="56">
        <f>+G680+G681+G682+G683+G684+G685+G686</f>
        <v>0</v>
      </c>
      <c r="H679" s="57">
        <f>+H680+H681+H682+H683+H684+H685+H686</f>
        <v>0</v>
      </c>
      <c r="I679" s="55">
        <f>SUM(J679:M679)</f>
        <v>128400.6</v>
      </c>
      <c r="J679" s="56">
        <f>+J680+J681+J682+J683+J684+J685+J686</f>
        <v>0</v>
      </c>
      <c r="K679" s="56">
        <f>+K680+K681+K682+K683+K684+K685+K686</f>
        <v>128400.6</v>
      </c>
      <c r="L679" s="56">
        <f>+L680+L681+L682+L683+L684+L685+L686</f>
        <v>0</v>
      </c>
      <c r="M679" s="57">
        <f>+M680+M681+M682+M683+M684+M685+M686</f>
        <v>0</v>
      </c>
      <c r="N679" s="55">
        <f>SUM(O679:R679)</f>
        <v>103458.08</v>
      </c>
      <c r="O679" s="56">
        <f>+O680+O681+O682+O683+O684+O685+O686</f>
        <v>0</v>
      </c>
      <c r="P679" s="56">
        <f>+P680+P681+P682+P683+P684+P685+P686</f>
        <v>103458.08</v>
      </c>
      <c r="Q679" s="56">
        <f>+Q680+Q681+Q682+Q683+Q684+Q685+Q686</f>
        <v>0</v>
      </c>
      <c r="R679" s="57">
        <f>+R680+R681+R682+R683+R684+R685+R686</f>
        <v>0</v>
      </c>
      <c r="S679" s="26">
        <f t="shared" si="312"/>
        <v>0.8057445214430462</v>
      </c>
      <c r="T679" s="27" t="str">
        <f t="shared" si="313"/>
        <v xml:space="preserve"> </v>
      </c>
      <c r="U679" s="27">
        <f t="shared" si="314"/>
        <v>0.8057445214430462</v>
      </c>
      <c r="V679" s="27" t="str">
        <f t="shared" si="315"/>
        <v xml:space="preserve"> </v>
      </c>
      <c r="W679" s="27" t="str">
        <f t="shared" si="315"/>
        <v xml:space="preserve"> </v>
      </c>
    </row>
    <row r="680" spans="1:23" ht="30.75" customHeight="1" x14ac:dyDescent="0.2">
      <c r="A680" s="74"/>
      <c r="B680" s="75"/>
      <c r="C680" s="4" t="s">
        <v>679</v>
      </c>
      <c r="D680" s="35">
        <f>SUM(E680:H680)</f>
        <v>0</v>
      </c>
      <c r="E680" s="36"/>
      <c r="F680" s="62">
        <v>0</v>
      </c>
      <c r="G680" s="36"/>
      <c r="H680" s="37"/>
      <c r="I680" s="35">
        <f>SUM(J680:M680)</f>
        <v>9601.5</v>
      </c>
      <c r="J680" s="36"/>
      <c r="K680" s="62">
        <v>9601.5</v>
      </c>
      <c r="L680" s="36"/>
      <c r="M680" s="37"/>
      <c r="N680" s="35">
        <f>SUM(O680:R680)</f>
        <v>9601.4599999999991</v>
      </c>
      <c r="O680" s="36"/>
      <c r="P680" s="62">
        <v>9601.4599999999991</v>
      </c>
      <c r="Q680" s="36"/>
      <c r="R680" s="37"/>
      <c r="S680" s="29">
        <f t="shared" si="312"/>
        <v>0.99999583398427316</v>
      </c>
      <c r="T680" s="30" t="str">
        <f t="shared" si="313"/>
        <v xml:space="preserve"> </v>
      </c>
      <c r="U680" s="30">
        <f t="shared" si="314"/>
        <v>0.99999583398427316</v>
      </c>
      <c r="V680" s="30" t="str">
        <f t="shared" si="315"/>
        <v xml:space="preserve"> </v>
      </c>
      <c r="W680" s="30" t="str">
        <f t="shared" si="315"/>
        <v xml:space="preserve"> </v>
      </c>
    </row>
    <row r="681" spans="1:23" ht="43.5" customHeight="1" x14ac:dyDescent="0.2">
      <c r="A681" s="74"/>
      <c r="B681" s="75"/>
      <c r="C681" s="4" t="s">
        <v>680</v>
      </c>
      <c r="D681" s="35">
        <f t="shared" ref="D681:D740" si="319">SUM(E681:H681)</f>
        <v>0</v>
      </c>
      <c r="E681" s="36"/>
      <c r="F681" s="62">
        <v>0</v>
      </c>
      <c r="G681" s="36"/>
      <c r="H681" s="37"/>
      <c r="I681" s="35">
        <f t="shared" ref="I681:I686" si="320">SUM(J681:M681)</f>
        <v>4976.3999999999996</v>
      </c>
      <c r="J681" s="36"/>
      <c r="K681" s="62">
        <v>4976.3999999999996</v>
      </c>
      <c r="L681" s="36"/>
      <c r="M681" s="37"/>
      <c r="N681" s="35">
        <f t="shared" ref="N681:N686" si="321">SUM(O681:R681)</f>
        <v>4976.3999999999996</v>
      </c>
      <c r="O681" s="36"/>
      <c r="P681" s="62">
        <v>4976.3999999999996</v>
      </c>
      <c r="Q681" s="36"/>
      <c r="R681" s="37"/>
      <c r="S681" s="29">
        <f t="shared" si="312"/>
        <v>1</v>
      </c>
      <c r="T681" s="30" t="str">
        <f t="shared" si="313"/>
        <v xml:space="preserve"> </v>
      </c>
      <c r="U681" s="30">
        <f t="shared" si="314"/>
        <v>1</v>
      </c>
      <c r="V681" s="30" t="str">
        <f t="shared" si="315"/>
        <v xml:space="preserve"> </v>
      </c>
      <c r="W681" s="30" t="str">
        <f t="shared" si="315"/>
        <v xml:space="preserve"> </v>
      </c>
    </row>
    <row r="682" spans="1:23" ht="48" customHeight="1" x14ac:dyDescent="0.2">
      <c r="A682" s="74"/>
      <c r="B682" s="75"/>
      <c r="C682" s="4" t="s">
        <v>681</v>
      </c>
      <c r="D682" s="35">
        <f t="shared" si="319"/>
        <v>0</v>
      </c>
      <c r="E682" s="36"/>
      <c r="F682" s="62">
        <v>0</v>
      </c>
      <c r="G682" s="36"/>
      <c r="H682" s="37"/>
      <c r="I682" s="35">
        <f t="shared" si="320"/>
        <v>4980.8</v>
      </c>
      <c r="J682" s="36"/>
      <c r="K682" s="62">
        <v>4980.8</v>
      </c>
      <c r="L682" s="36"/>
      <c r="M682" s="37"/>
      <c r="N682" s="35">
        <f t="shared" si="321"/>
        <v>4980.8</v>
      </c>
      <c r="O682" s="36"/>
      <c r="P682" s="62">
        <v>4980.8</v>
      </c>
      <c r="Q682" s="36"/>
      <c r="R682" s="37"/>
      <c r="S682" s="29">
        <f t="shared" si="312"/>
        <v>1</v>
      </c>
      <c r="T682" s="30" t="str">
        <f t="shared" si="313"/>
        <v xml:space="preserve"> </v>
      </c>
      <c r="U682" s="30">
        <f t="shared" si="314"/>
        <v>1</v>
      </c>
      <c r="V682" s="30" t="str">
        <f t="shared" si="315"/>
        <v xml:space="preserve"> </v>
      </c>
      <c r="W682" s="30" t="str">
        <f t="shared" si="315"/>
        <v xml:space="preserve"> </v>
      </c>
    </row>
    <row r="683" spans="1:23" ht="50.25" customHeight="1" x14ac:dyDescent="0.2">
      <c r="A683" s="74"/>
      <c r="B683" s="75"/>
      <c r="C683" s="4" t="s">
        <v>682</v>
      </c>
      <c r="D683" s="35">
        <f t="shared" si="319"/>
        <v>0</v>
      </c>
      <c r="E683" s="36"/>
      <c r="F683" s="62">
        <v>0</v>
      </c>
      <c r="G683" s="36"/>
      <c r="H683" s="37"/>
      <c r="I683" s="35">
        <f t="shared" si="320"/>
        <v>7516.1</v>
      </c>
      <c r="J683" s="36"/>
      <c r="K683" s="62">
        <v>7516.1</v>
      </c>
      <c r="L683" s="36"/>
      <c r="M683" s="37"/>
      <c r="N683" s="35">
        <f t="shared" si="321"/>
        <v>7516.1</v>
      </c>
      <c r="O683" s="36"/>
      <c r="P683" s="62">
        <v>7516.1</v>
      </c>
      <c r="Q683" s="36"/>
      <c r="R683" s="37"/>
      <c r="S683" s="29">
        <f t="shared" si="312"/>
        <v>1</v>
      </c>
      <c r="T683" s="30" t="str">
        <f t="shared" si="313"/>
        <v xml:space="preserve"> </v>
      </c>
      <c r="U683" s="30">
        <f t="shared" si="314"/>
        <v>1</v>
      </c>
      <c r="V683" s="30" t="str">
        <f t="shared" si="315"/>
        <v xml:space="preserve"> </v>
      </c>
      <c r="W683" s="30" t="str">
        <f t="shared" si="315"/>
        <v xml:space="preserve"> </v>
      </c>
    </row>
    <row r="684" spans="1:23" ht="34.5" customHeight="1" x14ac:dyDescent="0.2">
      <c r="A684" s="74"/>
      <c r="B684" s="75"/>
      <c r="C684" s="4" t="s">
        <v>683</v>
      </c>
      <c r="D684" s="35">
        <f t="shared" si="319"/>
        <v>0</v>
      </c>
      <c r="E684" s="36"/>
      <c r="F684" s="62">
        <v>0</v>
      </c>
      <c r="G684" s="36"/>
      <c r="H684" s="37"/>
      <c r="I684" s="35">
        <f t="shared" si="320"/>
        <v>2339.3000000000002</v>
      </c>
      <c r="J684" s="36"/>
      <c r="K684" s="62">
        <v>2339.3000000000002</v>
      </c>
      <c r="L684" s="36"/>
      <c r="M684" s="37"/>
      <c r="N684" s="35">
        <f t="shared" si="321"/>
        <v>2338.84</v>
      </c>
      <c r="O684" s="36"/>
      <c r="P684" s="62">
        <v>2338.84</v>
      </c>
      <c r="Q684" s="36"/>
      <c r="R684" s="37"/>
      <c r="S684" s="29">
        <f t="shared" si="312"/>
        <v>0.999803359979481</v>
      </c>
      <c r="T684" s="30" t="str">
        <f t="shared" si="313"/>
        <v xml:space="preserve"> </v>
      </c>
      <c r="U684" s="30">
        <f t="shared" si="314"/>
        <v>0.999803359979481</v>
      </c>
      <c r="V684" s="30" t="str">
        <f t="shared" si="315"/>
        <v xml:space="preserve"> </v>
      </c>
      <c r="W684" s="30" t="str">
        <f t="shared" si="315"/>
        <v xml:space="preserve"> </v>
      </c>
    </row>
    <row r="685" spans="1:23" ht="31.5" customHeight="1" x14ac:dyDescent="0.2">
      <c r="A685" s="74"/>
      <c r="B685" s="75"/>
      <c r="C685" s="4" t="s">
        <v>684</v>
      </c>
      <c r="D685" s="35">
        <f t="shared" si="319"/>
        <v>0</v>
      </c>
      <c r="E685" s="36"/>
      <c r="F685" s="62">
        <v>0</v>
      </c>
      <c r="G685" s="36"/>
      <c r="H685" s="37"/>
      <c r="I685" s="35">
        <f t="shared" si="320"/>
        <v>33782.9</v>
      </c>
      <c r="J685" s="36"/>
      <c r="K685" s="62">
        <v>33782.9</v>
      </c>
      <c r="L685" s="36"/>
      <c r="M685" s="37"/>
      <c r="N685" s="35">
        <f t="shared" si="321"/>
        <v>25660.559999999998</v>
      </c>
      <c r="O685" s="36"/>
      <c r="P685" s="62">
        <v>25660.559999999998</v>
      </c>
      <c r="Q685" s="36"/>
      <c r="R685" s="37"/>
      <c r="S685" s="29">
        <f t="shared" si="312"/>
        <v>0.75957244641519817</v>
      </c>
      <c r="T685" s="30" t="str">
        <f t="shared" si="313"/>
        <v xml:space="preserve"> </v>
      </c>
      <c r="U685" s="30">
        <f t="shared" si="314"/>
        <v>0.75957244641519817</v>
      </c>
      <c r="V685" s="30" t="str">
        <f t="shared" si="315"/>
        <v xml:space="preserve"> </v>
      </c>
      <c r="W685" s="30" t="str">
        <f t="shared" si="315"/>
        <v xml:space="preserve"> </v>
      </c>
    </row>
    <row r="686" spans="1:23" ht="30.75" customHeight="1" x14ac:dyDescent="0.2">
      <c r="A686" s="74"/>
      <c r="B686" s="75"/>
      <c r="C686" s="4" t="s">
        <v>685</v>
      </c>
      <c r="D686" s="35">
        <f t="shared" si="319"/>
        <v>0</v>
      </c>
      <c r="E686" s="36"/>
      <c r="F686" s="62">
        <v>0</v>
      </c>
      <c r="G686" s="36"/>
      <c r="H686" s="37"/>
      <c r="I686" s="35">
        <f t="shared" si="320"/>
        <v>65203.6</v>
      </c>
      <c r="J686" s="36"/>
      <c r="K686" s="62">
        <v>65203.6</v>
      </c>
      <c r="L686" s="36"/>
      <c r="M686" s="37"/>
      <c r="N686" s="35">
        <f t="shared" si="321"/>
        <v>48383.92</v>
      </c>
      <c r="O686" s="36"/>
      <c r="P686" s="62">
        <v>48383.92</v>
      </c>
      <c r="Q686" s="36"/>
      <c r="R686" s="37"/>
      <c r="S686" s="29">
        <f t="shared" si="312"/>
        <v>0.74204369083915611</v>
      </c>
      <c r="T686" s="30" t="str">
        <f t="shared" si="313"/>
        <v xml:space="preserve"> </v>
      </c>
      <c r="U686" s="30">
        <f t="shared" si="314"/>
        <v>0.74204369083915611</v>
      </c>
      <c r="V686" s="30" t="str">
        <f t="shared" si="315"/>
        <v xml:space="preserve"> </v>
      </c>
      <c r="W686" s="30" t="str">
        <f t="shared" si="315"/>
        <v xml:space="preserve"> </v>
      </c>
    </row>
    <row r="687" spans="1:23" s="38" customFormat="1" ht="31.5" customHeight="1" x14ac:dyDescent="0.2">
      <c r="A687" s="78"/>
      <c r="B687" s="79"/>
      <c r="C687" s="54" t="s">
        <v>594</v>
      </c>
      <c r="D687" s="55">
        <f t="shared" si="319"/>
        <v>0</v>
      </c>
      <c r="E687" s="56">
        <f>+E688+E689+E690+E691+E692+E693+E694</f>
        <v>0</v>
      </c>
      <c r="F687" s="56">
        <f>+F688+F689+F690+F691+F692+F693+F694</f>
        <v>0</v>
      </c>
      <c r="G687" s="56">
        <f>+G688+G689+G690+G691+G692+G693+G694</f>
        <v>0</v>
      </c>
      <c r="H687" s="57">
        <f>+H688+H689+H690+H691+H692+H693+H694</f>
        <v>0</v>
      </c>
      <c r="I687" s="55">
        <f t="shared" ref="I687:I750" si="322">SUM(J687:M687)</f>
        <v>152173.79999999999</v>
      </c>
      <c r="J687" s="56">
        <f>+J688+J689+J690+J691+J692+J693+J694</f>
        <v>0</v>
      </c>
      <c r="K687" s="56">
        <f>+K688+K689+K690+K691+K692+K693+K694</f>
        <v>152173.79999999999</v>
      </c>
      <c r="L687" s="56">
        <f>+L688+L689+L690+L691+L692+L693+L694</f>
        <v>0</v>
      </c>
      <c r="M687" s="57">
        <f>+M688+M689+M690+M691+M692+M693+M694</f>
        <v>0</v>
      </c>
      <c r="N687" s="55">
        <f t="shared" ref="N687:N750" si="323">SUM(O687:R687)</f>
        <v>115156.81</v>
      </c>
      <c r="O687" s="56">
        <f>+O688+O689+O690+O691+O692+O693+O694</f>
        <v>0</v>
      </c>
      <c r="P687" s="56">
        <f>+P688+P689+P690+P691+P692+P693+P694</f>
        <v>115156.81</v>
      </c>
      <c r="Q687" s="56">
        <f>+Q688+Q689+Q690+Q691+Q692+Q693+Q694</f>
        <v>0</v>
      </c>
      <c r="R687" s="57">
        <f>+R688+R689+R690+R691+R692+R693+R694</f>
        <v>0</v>
      </c>
      <c r="S687" s="26">
        <f t="shared" si="312"/>
        <v>0.75674531358223296</v>
      </c>
      <c r="T687" s="27" t="str">
        <f t="shared" si="313"/>
        <v xml:space="preserve"> </v>
      </c>
      <c r="U687" s="27">
        <f t="shared" si="314"/>
        <v>0.75674531358223296</v>
      </c>
      <c r="V687" s="27" t="str">
        <f t="shared" si="315"/>
        <v xml:space="preserve"> </v>
      </c>
      <c r="W687" s="27" t="str">
        <f t="shared" si="315"/>
        <v xml:space="preserve"> </v>
      </c>
    </row>
    <row r="688" spans="1:23" ht="51.75" customHeight="1" x14ac:dyDescent="0.2">
      <c r="A688" s="80"/>
      <c r="B688" s="81"/>
      <c r="C688" s="2" t="s">
        <v>686</v>
      </c>
      <c r="D688" s="35">
        <f t="shared" si="319"/>
        <v>0</v>
      </c>
      <c r="E688" s="36"/>
      <c r="F688" s="62">
        <v>0</v>
      </c>
      <c r="G688" s="36"/>
      <c r="H688" s="37"/>
      <c r="I688" s="35">
        <f t="shared" si="322"/>
        <v>40925.500000000007</v>
      </c>
      <c r="J688" s="36"/>
      <c r="K688" s="62">
        <v>40925.500000000007</v>
      </c>
      <c r="L688" s="36"/>
      <c r="M688" s="37"/>
      <c r="N688" s="35">
        <f t="shared" si="323"/>
        <v>36170</v>
      </c>
      <c r="O688" s="36"/>
      <c r="P688" s="62">
        <v>36170</v>
      </c>
      <c r="Q688" s="36"/>
      <c r="R688" s="37"/>
      <c r="S688" s="29">
        <f t="shared" si="312"/>
        <v>0.88380105313313195</v>
      </c>
      <c r="T688" s="30" t="str">
        <f t="shared" si="313"/>
        <v xml:space="preserve"> </v>
      </c>
      <c r="U688" s="30">
        <f t="shared" si="314"/>
        <v>0.88380105313313195</v>
      </c>
      <c r="V688" s="30" t="str">
        <f t="shared" si="315"/>
        <v xml:space="preserve"> </v>
      </c>
      <c r="W688" s="30" t="str">
        <f t="shared" si="315"/>
        <v xml:space="preserve"> </v>
      </c>
    </row>
    <row r="689" spans="1:23" ht="42.75" customHeight="1" x14ac:dyDescent="0.2">
      <c r="A689" s="80"/>
      <c r="B689" s="81"/>
      <c r="C689" s="2" t="s">
        <v>687</v>
      </c>
      <c r="D689" s="35">
        <f>SUM(E689:H689)</f>
        <v>0</v>
      </c>
      <c r="E689" s="36"/>
      <c r="F689" s="62">
        <v>0</v>
      </c>
      <c r="G689" s="36"/>
      <c r="H689" s="37"/>
      <c r="I689" s="35">
        <f t="shared" si="322"/>
        <v>36045</v>
      </c>
      <c r="J689" s="36"/>
      <c r="K689" s="62">
        <v>36045</v>
      </c>
      <c r="L689" s="36"/>
      <c r="M689" s="37"/>
      <c r="N689" s="35">
        <f t="shared" si="323"/>
        <v>35944.25</v>
      </c>
      <c r="O689" s="36"/>
      <c r="P689" s="62">
        <v>35944.25</v>
      </c>
      <c r="Q689" s="36"/>
      <c r="R689" s="37"/>
      <c r="S689" s="29">
        <f t="shared" si="312"/>
        <v>0.99720488278540709</v>
      </c>
      <c r="T689" s="30" t="str">
        <f t="shared" si="313"/>
        <v xml:space="preserve"> </v>
      </c>
      <c r="U689" s="30">
        <f t="shared" si="314"/>
        <v>0.99720488278540709</v>
      </c>
      <c r="V689" s="30" t="str">
        <f t="shared" si="315"/>
        <v xml:space="preserve"> </v>
      </c>
      <c r="W689" s="30" t="str">
        <f t="shared" si="315"/>
        <v xml:space="preserve"> </v>
      </c>
    </row>
    <row r="690" spans="1:23" ht="48" customHeight="1" x14ac:dyDescent="0.2">
      <c r="A690" s="80"/>
      <c r="B690" s="81"/>
      <c r="C690" s="2" t="s">
        <v>688</v>
      </c>
      <c r="D690" s="35">
        <f>SUM(E690:H690)</f>
        <v>0</v>
      </c>
      <c r="E690" s="36"/>
      <c r="F690" s="62">
        <v>0</v>
      </c>
      <c r="G690" s="36"/>
      <c r="H690" s="37"/>
      <c r="I690" s="35">
        <f t="shared" si="322"/>
        <v>9970</v>
      </c>
      <c r="J690" s="36"/>
      <c r="K690" s="62">
        <v>9970</v>
      </c>
      <c r="L690" s="36"/>
      <c r="M690" s="37"/>
      <c r="N690" s="35">
        <f t="shared" si="323"/>
        <v>3908.23</v>
      </c>
      <c r="O690" s="36"/>
      <c r="P690" s="62">
        <v>3908.23</v>
      </c>
      <c r="Q690" s="36"/>
      <c r="R690" s="37"/>
      <c r="S690" s="29">
        <f t="shared" si="312"/>
        <v>0.3919989969909729</v>
      </c>
      <c r="T690" s="30" t="str">
        <f t="shared" si="313"/>
        <v xml:space="preserve"> </v>
      </c>
      <c r="U690" s="30">
        <f t="shared" si="314"/>
        <v>0.3919989969909729</v>
      </c>
      <c r="V690" s="30" t="str">
        <f t="shared" si="315"/>
        <v xml:space="preserve"> </v>
      </c>
      <c r="W690" s="30" t="str">
        <f t="shared" si="315"/>
        <v xml:space="preserve"> </v>
      </c>
    </row>
    <row r="691" spans="1:23" ht="48" customHeight="1" x14ac:dyDescent="0.2">
      <c r="A691" s="80"/>
      <c r="B691" s="81"/>
      <c r="C691" s="2" t="s">
        <v>689</v>
      </c>
      <c r="D691" s="35">
        <f>SUM(E691:H691)</f>
        <v>0</v>
      </c>
      <c r="E691" s="36"/>
      <c r="F691" s="62">
        <v>0</v>
      </c>
      <c r="G691" s="36"/>
      <c r="H691" s="37"/>
      <c r="I691" s="35">
        <f t="shared" si="322"/>
        <v>16950.5</v>
      </c>
      <c r="J691" s="36"/>
      <c r="K691" s="62">
        <v>16950.5</v>
      </c>
      <c r="L691" s="36"/>
      <c r="M691" s="37"/>
      <c r="N691" s="35">
        <f t="shared" si="323"/>
        <v>0</v>
      </c>
      <c r="O691" s="36"/>
      <c r="P691" s="62">
        <v>0</v>
      </c>
      <c r="Q691" s="36"/>
      <c r="R691" s="37"/>
      <c r="S691" s="29">
        <f t="shared" si="312"/>
        <v>0</v>
      </c>
      <c r="T691" s="30" t="str">
        <f t="shared" si="313"/>
        <v xml:space="preserve"> </v>
      </c>
      <c r="U691" s="30">
        <f t="shared" si="314"/>
        <v>0</v>
      </c>
      <c r="V691" s="30" t="str">
        <f t="shared" si="315"/>
        <v xml:space="preserve"> </v>
      </c>
      <c r="W691" s="30" t="str">
        <f t="shared" si="315"/>
        <v xml:space="preserve"> </v>
      </c>
    </row>
    <row r="692" spans="1:23" ht="48" customHeight="1" x14ac:dyDescent="0.2">
      <c r="A692" s="80"/>
      <c r="B692" s="81"/>
      <c r="C692" s="2" t="s">
        <v>690</v>
      </c>
      <c r="D692" s="35">
        <f>SUM(E692:H692)</f>
        <v>0</v>
      </c>
      <c r="E692" s="36"/>
      <c r="F692" s="62">
        <v>0</v>
      </c>
      <c r="G692" s="36"/>
      <c r="H692" s="37"/>
      <c r="I692" s="35">
        <f t="shared" si="322"/>
        <v>15287.8</v>
      </c>
      <c r="J692" s="36"/>
      <c r="K692" s="62">
        <v>15287.8</v>
      </c>
      <c r="L692" s="36"/>
      <c r="M692" s="37"/>
      <c r="N692" s="35">
        <f t="shared" si="323"/>
        <v>15287.77</v>
      </c>
      <c r="O692" s="36"/>
      <c r="P692" s="62">
        <v>15287.77</v>
      </c>
      <c r="Q692" s="36"/>
      <c r="R692" s="37"/>
      <c r="S692" s="29">
        <f t="shared" si="312"/>
        <v>0.99999803765093742</v>
      </c>
      <c r="T692" s="30" t="str">
        <f t="shared" si="313"/>
        <v xml:space="preserve"> </v>
      </c>
      <c r="U692" s="30">
        <f t="shared" si="314"/>
        <v>0.99999803765093742</v>
      </c>
      <c r="V692" s="30" t="str">
        <f t="shared" si="315"/>
        <v xml:space="preserve"> </v>
      </c>
      <c r="W692" s="30" t="str">
        <f t="shared" si="315"/>
        <v xml:space="preserve"> </v>
      </c>
    </row>
    <row r="693" spans="1:23" ht="48" customHeight="1" x14ac:dyDescent="0.2">
      <c r="A693" s="80"/>
      <c r="B693" s="81"/>
      <c r="C693" s="2" t="s">
        <v>691</v>
      </c>
      <c r="D693" s="35">
        <f>SUM(E693:H693)</f>
        <v>0</v>
      </c>
      <c r="E693" s="36"/>
      <c r="F693" s="62">
        <v>0</v>
      </c>
      <c r="G693" s="36"/>
      <c r="H693" s="37"/>
      <c r="I693" s="35">
        <f t="shared" si="322"/>
        <v>9195</v>
      </c>
      <c r="J693" s="36"/>
      <c r="K693" s="62">
        <v>9195</v>
      </c>
      <c r="L693" s="36"/>
      <c r="M693" s="37"/>
      <c r="N693" s="35">
        <f t="shared" si="323"/>
        <v>9016.56</v>
      </c>
      <c r="O693" s="36"/>
      <c r="P693" s="62">
        <v>9016.56</v>
      </c>
      <c r="Q693" s="36"/>
      <c r="R693" s="37"/>
      <c r="S693" s="29">
        <f t="shared" si="312"/>
        <v>0.98059380097879278</v>
      </c>
      <c r="T693" s="30" t="str">
        <f t="shared" si="313"/>
        <v xml:space="preserve"> </v>
      </c>
      <c r="U693" s="30">
        <f t="shared" si="314"/>
        <v>0.98059380097879278</v>
      </c>
      <c r="V693" s="30" t="str">
        <f t="shared" si="315"/>
        <v xml:space="preserve"> </v>
      </c>
      <c r="W693" s="30" t="str">
        <f t="shared" si="315"/>
        <v xml:space="preserve"> </v>
      </c>
    </row>
    <row r="694" spans="1:23" ht="48" customHeight="1" x14ac:dyDescent="0.2">
      <c r="A694" s="80"/>
      <c r="B694" s="81"/>
      <c r="C694" s="2" t="s">
        <v>692</v>
      </c>
      <c r="D694" s="35">
        <f t="shared" si="319"/>
        <v>0</v>
      </c>
      <c r="E694" s="36"/>
      <c r="F694" s="62">
        <v>0</v>
      </c>
      <c r="G694" s="36"/>
      <c r="H694" s="37"/>
      <c r="I694" s="35">
        <f t="shared" si="322"/>
        <v>23800</v>
      </c>
      <c r="J694" s="36"/>
      <c r="K694" s="62">
        <v>23800</v>
      </c>
      <c r="L694" s="36"/>
      <c r="M694" s="37"/>
      <c r="N694" s="35">
        <f t="shared" si="323"/>
        <v>14830</v>
      </c>
      <c r="O694" s="36"/>
      <c r="P694" s="62">
        <v>14830</v>
      </c>
      <c r="Q694" s="36"/>
      <c r="R694" s="37"/>
      <c r="S694" s="29">
        <f t="shared" si="312"/>
        <v>0.623109243697479</v>
      </c>
      <c r="T694" s="30" t="str">
        <f t="shared" si="313"/>
        <v xml:space="preserve"> </v>
      </c>
      <c r="U694" s="30">
        <f t="shared" si="314"/>
        <v>0.623109243697479</v>
      </c>
      <c r="V694" s="30" t="str">
        <f t="shared" si="315"/>
        <v xml:space="preserve"> </v>
      </c>
      <c r="W694" s="30" t="str">
        <f t="shared" si="315"/>
        <v xml:space="preserve"> </v>
      </c>
    </row>
    <row r="695" spans="1:23" s="38" customFormat="1" ht="32.25" customHeight="1" x14ac:dyDescent="0.2">
      <c r="A695" s="78"/>
      <c r="B695" s="79"/>
      <c r="C695" s="54" t="s">
        <v>131</v>
      </c>
      <c r="D695" s="55">
        <f t="shared" si="319"/>
        <v>0</v>
      </c>
      <c r="E695" s="56">
        <f>+E696+E697+E698+E699+E700+E701+E702+E703+E704+E705+E706+E707+E708+E709+E710+E711+E712</f>
        <v>0</v>
      </c>
      <c r="F695" s="56">
        <f>+F696+F697+F698+F699+F700+F701+F702+F703+F704+F705+F706+F707+F708+F709+F710+F711+F712</f>
        <v>0</v>
      </c>
      <c r="G695" s="56">
        <f>+G696+G697+G698+G699+G700+G701+G702+G703+G704+G705+G706+G707+G708+G709+G710+G711+G712</f>
        <v>0</v>
      </c>
      <c r="H695" s="57">
        <f>+H696+H697+H698+H699+H700+H701+H702+H703+H704+H705+H706+H707+H708+H709+H710+H711+H712</f>
        <v>0</v>
      </c>
      <c r="I695" s="55">
        <f t="shared" si="322"/>
        <v>99806.400000000009</v>
      </c>
      <c r="J695" s="56">
        <f>+J696+J697+J698+J699+J700+J701+J702+J703+J704+J705+J706+J707+J708+J709+J710+J711+J712</f>
        <v>0</v>
      </c>
      <c r="K695" s="56">
        <f>+K696+K697+K698+K699+K700+K701+K702+K703+K704+K705+K706+K707+K708+K709+K710+K711+K712</f>
        <v>99806.400000000009</v>
      </c>
      <c r="L695" s="56">
        <f>+L696+L697+L698+L699+L700+L701+L702+L703+L704+L705+L706+L707+L708+L709+L710+L711+L712</f>
        <v>0</v>
      </c>
      <c r="M695" s="57">
        <f>+M696+M697+M698+M699+M700+M701+M702+M703+M704+M705+M706+M707+M708+M709+M710+M711+M712</f>
        <v>0</v>
      </c>
      <c r="N695" s="55">
        <f t="shared" si="323"/>
        <v>97772.85</v>
      </c>
      <c r="O695" s="56">
        <f>+O696+O697+O698+O699+O700+O701+O702+O703+O704+O705+O706+O707+O708+O709+O710+O711+O712</f>
        <v>0</v>
      </c>
      <c r="P695" s="56">
        <f>+P696+P697+P698+P699+P700+P701+P702+P703+P704+P705+P706+P707+P708+P709+P710+P711+P712</f>
        <v>97772.85</v>
      </c>
      <c r="Q695" s="56">
        <f>+Q696+Q697+Q698+Q699+Q700+Q701+Q702+Q703+Q704+Q705+Q706+Q707+Q708+Q709+Q710+Q711+Q712</f>
        <v>0</v>
      </c>
      <c r="R695" s="57">
        <f>+R696+R697+R698+R699+R700+R701+R702+R703+R704+R705+R706+R707+R708+R709+R710+R711+R712</f>
        <v>0</v>
      </c>
      <c r="S695" s="26">
        <f t="shared" si="312"/>
        <v>0.97962505410474676</v>
      </c>
      <c r="T695" s="27" t="str">
        <f t="shared" si="313"/>
        <v xml:space="preserve"> </v>
      </c>
      <c r="U695" s="27">
        <f t="shared" si="314"/>
        <v>0.97962505410474676</v>
      </c>
      <c r="V695" s="27" t="str">
        <f t="shared" si="315"/>
        <v xml:space="preserve"> </v>
      </c>
      <c r="W695" s="27" t="str">
        <f t="shared" si="315"/>
        <v xml:space="preserve"> </v>
      </c>
    </row>
    <row r="696" spans="1:23" ht="44.25" customHeight="1" x14ac:dyDescent="0.2">
      <c r="A696" s="74"/>
      <c r="B696" s="75"/>
      <c r="C696" s="4" t="s">
        <v>693</v>
      </c>
      <c r="D696" s="35">
        <f t="shared" si="319"/>
        <v>0</v>
      </c>
      <c r="E696" s="36"/>
      <c r="F696" s="62">
        <v>0</v>
      </c>
      <c r="G696" s="36"/>
      <c r="H696" s="37"/>
      <c r="I696" s="35">
        <f t="shared" si="322"/>
        <v>2339.5</v>
      </c>
      <c r="J696" s="36"/>
      <c r="K696" s="62">
        <v>2339.5</v>
      </c>
      <c r="L696" s="36"/>
      <c r="M696" s="37"/>
      <c r="N696" s="35">
        <f t="shared" si="323"/>
        <v>2339.5</v>
      </c>
      <c r="O696" s="36"/>
      <c r="P696" s="62">
        <v>2339.5</v>
      </c>
      <c r="Q696" s="36"/>
      <c r="R696" s="37"/>
      <c r="S696" s="29">
        <f t="shared" si="312"/>
        <v>1</v>
      </c>
      <c r="T696" s="30" t="str">
        <f t="shared" si="313"/>
        <v xml:space="preserve"> </v>
      </c>
      <c r="U696" s="30">
        <f t="shared" si="314"/>
        <v>1</v>
      </c>
      <c r="V696" s="30" t="str">
        <f t="shared" si="315"/>
        <v xml:space="preserve"> </v>
      </c>
      <c r="W696" s="30" t="str">
        <f t="shared" si="315"/>
        <v xml:space="preserve"> </v>
      </c>
    </row>
    <row r="697" spans="1:23" ht="41.1" customHeight="1" x14ac:dyDescent="0.2">
      <c r="A697" s="74"/>
      <c r="B697" s="75"/>
      <c r="C697" s="4" t="s">
        <v>694</v>
      </c>
      <c r="D697" s="35">
        <f t="shared" si="319"/>
        <v>0</v>
      </c>
      <c r="E697" s="36"/>
      <c r="F697" s="62">
        <v>0</v>
      </c>
      <c r="G697" s="36"/>
      <c r="H697" s="37"/>
      <c r="I697" s="35">
        <f t="shared" si="322"/>
        <v>5399</v>
      </c>
      <c r="J697" s="36"/>
      <c r="K697" s="62">
        <v>5399</v>
      </c>
      <c r="L697" s="36"/>
      <c r="M697" s="37"/>
      <c r="N697" s="35">
        <f t="shared" si="323"/>
        <v>5399</v>
      </c>
      <c r="O697" s="36"/>
      <c r="P697" s="62">
        <v>5399</v>
      </c>
      <c r="Q697" s="36"/>
      <c r="R697" s="37"/>
      <c r="S697" s="29">
        <f t="shared" si="312"/>
        <v>1</v>
      </c>
      <c r="T697" s="30" t="str">
        <f t="shared" si="313"/>
        <v xml:space="preserve"> </v>
      </c>
      <c r="U697" s="30">
        <f t="shared" si="314"/>
        <v>1</v>
      </c>
      <c r="V697" s="30" t="str">
        <f t="shared" si="315"/>
        <v xml:space="preserve"> </v>
      </c>
      <c r="W697" s="30" t="str">
        <f t="shared" si="315"/>
        <v xml:space="preserve"> </v>
      </c>
    </row>
    <row r="698" spans="1:23" ht="41.1" customHeight="1" x14ac:dyDescent="0.2">
      <c r="A698" s="74"/>
      <c r="B698" s="75"/>
      <c r="C698" s="4" t="s">
        <v>695</v>
      </c>
      <c r="D698" s="35">
        <f t="shared" si="319"/>
        <v>0</v>
      </c>
      <c r="E698" s="36"/>
      <c r="F698" s="62">
        <v>0</v>
      </c>
      <c r="G698" s="36"/>
      <c r="H698" s="37"/>
      <c r="I698" s="35">
        <f t="shared" si="322"/>
        <v>11750.9</v>
      </c>
      <c r="J698" s="36"/>
      <c r="K698" s="62">
        <v>11750.9</v>
      </c>
      <c r="L698" s="36"/>
      <c r="M698" s="37"/>
      <c r="N698" s="35">
        <f t="shared" si="323"/>
        <v>11699.53</v>
      </c>
      <c r="O698" s="36"/>
      <c r="P698" s="62">
        <v>11699.53</v>
      </c>
      <c r="Q698" s="36"/>
      <c r="R698" s="37"/>
      <c r="S698" s="29">
        <f t="shared" si="312"/>
        <v>0.99562841995081242</v>
      </c>
      <c r="T698" s="30" t="str">
        <f t="shared" si="313"/>
        <v xml:space="preserve"> </v>
      </c>
      <c r="U698" s="30">
        <f t="shared" si="314"/>
        <v>0.99562841995081242</v>
      </c>
      <c r="V698" s="30" t="str">
        <f t="shared" si="315"/>
        <v xml:space="preserve"> </v>
      </c>
      <c r="W698" s="30" t="str">
        <f t="shared" si="315"/>
        <v xml:space="preserve"> </v>
      </c>
    </row>
    <row r="699" spans="1:23" ht="41.1" customHeight="1" x14ac:dyDescent="0.2">
      <c r="A699" s="74"/>
      <c r="B699" s="75"/>
      <c r="C699" s="4" t="s">
        <v>696</v>
      </c>
      <c r="D699" s="35">
        <f t="shared" si="319"/>
        <v>0</v>
      </c>
      <c r="E699" s="36"/>
      <c r="F699" s="62">
        <v>0</v>
      </c>
      <c r="G699" s="36"/>
      <c r="H699" s="37"/>
      <c r="I699" s="35">
        <f t="shared" si="322"/>
        <v>3243</v>
      </c>
      <c r="J699" s="36"/>
      <c r="K699" s="62">
        <v>3243</v>
      </c>
      <c r="L699" s="36"/>
      <c r="M699" s="37"/>
      <c r="N699" s="35">
        <f t="shared" si="323"/>
        <v>3243</v>
      </c>
      <c r="O699" s="36"/>
      <c r="P699" s="62">
        <v>3243</v>
      </c>
      <c r="Q699" s="36"/>
      <c r="R699" s="37"/>
      <c r="S699" s="29">
        <f t="shared" si="312"/>
        <v>1</v>
      </c>
      <c r="T699" s="30" t="str">
        <f t="shared" si="313"/>
        <v xml:space="preserve"> </v>
      </c>
      <c r="U699" s="30">
        <f t="shared" si="314"/>
        <v>1</v>
      </c>
      <c r="V699" s="30" t="str">
        <f t="shared" si="315"/>
        <v xml:space="preserve"> </v>
      </c>
      <c r="W699" s="30" t="str">
        <f t="shared" si="315"/>
        <v xml:space="preserve"> </v>
      </c>
    </row>
    <row r="700" spans="1:23" ht="41.1" customHeight="1" x14ac:dyDescent="0.2">
      <c r="A700" s="74"/>
      <c r="B700" s="75"/>
      <c r="C700" s="4" t="s">
        <v>697</v>
      </c>
      <c r="D700" s="35">
        <f t="shared" si="319"/>
        <v>0</v>
      </c>
      <c r="E700" s="36"/>
      <c r="F700" s="62">
        <v>0</v>
      </c>
      <c r="G700" s="36"/>
      <c r="H700" s="37"/>
      <c r="I700" s="35">
        <f t="shared" si="322"/>
        <v>6391</v>
      </c>
      <c r="J700" s="36"/>
      <c r="K700" s="62">
        <v>6391</v>
      </c>
      <c r="L700" s="36"/>
      <c r="M700" s="37"/>
      <c r="N700" s="35">
        <f t="shared" si="323"/>
        <v>6354.52</v>
      </c>
      <c r="O700" s="36"/>
      <c r="P700" s="62">
        <v>6354.52</v>
      </c>
      <c r="Q700" s="36"/>
      <c r="R700" s="37"/>
      <c r="S700" s="29">
        <f t="shared" si="312"/>
        <v>0.99429197308715389</v>
      </c>
      <c r="T700" s="30" t="str">
        <f t="shared" si="313"/>
        <v xml:space="preserve"> </v>
      </c>
      <c r="U700" s="30">
        <f t="shared" si="314"/>
        <v>0.99429197308715389</v>
      </c>
      <c r="V700" s="30" t="str">
        <f t="shared" si="315"/>
        <v xml:space="preserve"> </v>
      </c>
      <c r="W700" s="30" t="str">
        <f t="shared" si="315"/>
        <v xml:space="preserve"> </v>
      </c>
    </row>
    <row r="701" spans="1:23" ht="41.1" customHeight="1" x14ac:dyDescent="0.2">
      <c r="A701" s="74"/>
      <c r="B701" s="75"/>
      <c r="C701" s="4" t="s">
        <v>698</v>
      </c>
      <c r="D701" s="35">
        <f t="shared" si="319"/>
        <v>0</v>
      </c>
      <c r="E701" s="36"/>
      <c r="F701" s="62">
        <v>0</v>
      </c>
      <c r="G701" s="36"/>
      <c r="H701" s="37"/>
      <c r="I701" s="35">
        <f t="shared" si="322"/>
        <v>1934.4</v>
      </c>
      <c r="J701" s="36"/>
      <c r="K701" s="62">
        <v>1934.4</v>
      </c>
      <c r="L701" s="36"/>
      <c r="M701" s="37"/>
      <c r="N701" s="35">
        <f t="shared" si="323"/>
        <v>0</v>
      </c>
      <c r="O701" s="36"/>
      <c r="P701" s="62">
        <v>0</v>
      </c>
      <c r="Q701" s="36"/>
      <c r="R701" s="37"/>
      <c r="S701" s="29">
        <f t="shared" si="312"/>
        <v>0</v>
      </c>
      <c r="T701" s="30" t="str">
        <f t="shared" si="313"/>
        <v xml:space="preserve"> </v>
      </c>
      <c r="U701" s="30">
        <f t="shared" si="314"/>
        <v>0</v>
      </c>
      <c r="V701" s="30" t="str">
        <f t="shared" si="315"/>
        <v xml:space="preserve"> </v>
      </c>
      <c r="W701" s="30" t="str">
        <f t="shared" si="315"/>
        <v xml:space="preserve"> </v>
      </c>
    </row>
    <row r="702" spans="1:23" ht="30.75" customHeight="1" x14ac:dyDescent="0.2">
      <c r="A702" s="74"/>
      <c r="B702" s="75"/>
      <c r="C702" s="4" t="s">
        <v>699</v>
      </c>
      <c r="D702" s="35">
        <f t="shared" si="319"/>
        <v>0</v>
      </c>
      <c r="E702" s="36"/>
      <c r="F702" s="62">
        <v>0</v>
      </c>
      <c r="G702" s="36"/>
      <c r="H702" s="37"/>
      <c r="I702" s="35">
        <f t="shared" si="322"/>
        <v>6338</v>
      </c>
      <c r="J702" s="36"/>
      <c r="K702" s="62">
        <v>6338</v>
      </c>
      <c r="L702" s="36"/>
      <c r="M702" s="37"/>
      <c r="N702" s="35">
        <f t="shared" si="323"/>
        <v>6338</v>
      </c>
      <c r="O702" s="36"/>
      <c r="P702" s="62">
        <v>6338</v>
      </c>
      <c r="Q702" s="36"/>
      <c r="R702" s="37"/>
      <c r="S702" s="29">
        <f t="shared" si="312"/>
        <v>1</v>
      </c>
      <c r="T702" s="30" t="str">
        <f t="shared" si="313"/>
        <v xml:space="preserve"> </v>
      </c>
      <c r="U702" s="30">
        <f t="shared" si="314"/>
        <v>1</v>
      </c>
      <c r="V702" s="30" t="str">
        <f t="shared" si="315"/>
        <v xml:space="preserve"> </v>
      </c>
      <c r="W702" s="30" t="str">
        <f t="shared" si="315"/>
        <v xml:space="preserve"> </v>
      </c>
    </row>
    <row r="703" spans="1:23" ht="48.75" customHeight="1" x14ac:dyDescent="0.2">
      <c r="A703" s="74"/>
      <c r="B703" s="75"/>
      <c r="C703" s="4" t="s">
        <v>700</v>
      </c>
      <c r="D703" s="35">
        <f t="shared" si="319"/>
        <v>0</v>
      </c>
      <c r="E703" s="36"/>
      <c r="F703" s="62">
        <v>0</v>
      </c>
      <c r="G703" s="36"/>
      <c r="H703" s="37"/>
      <c r="I703" s="35">
        <f t="shared" si="322"/>
        <v>2806.8</v>
      </c>
      <c r="J703" s="36"/>
      <c r="K703" s="62">
        <v>2806.8</v>
      </c>
      <c r="L703" s="36"/>
      <c r="M703" s="37"/>
      <c r="N703" s="35">
        <f t="shared" si="323"/>
        <v>2806.8</v>
      </c>
      <c r="O703" s="36"/>
      <c r="P703" s="62">
        <v>2806.8</v>
      </c>
      <c r="Q703" s="36"/>
      <c r="R703" s="37"/>
      <c r="S703" s="29">
        <f t="shared" si="312"/>
        <v>1</v>
      </c>
      <c r="T703" s="30" t="str">
        <f t="shared" si="313"/>
        <v xml:space="preserve"> </v>
      </c>
      <c r="U703" s="30">
        <f t="shared" si="314"/>
        <v>1</v>
      </c>
      <c r="V703" s="30" t="str">
        <f t="shared" si="315"/>
        <v xml:space="preserve"> </v>
      </c>
      <c r="W703" s="30" t="str">
        <f t="shared" si="315"/>
        <v xml:space="preserve"> </v>
      </c>
    </row>
    <row r="704" spans="1:23" ht="41.1" customHeight="1" x14ac:dyDescent="0.2">
      <c r="A704" s="74"/>
      <c r="B704" s="75"/>
      <c r="C704" s="4" t="s">
        <v>701</v>
      </c>
      <c r="D704" s="35">
        <f t="shared" si="319"/>
        <v>0</v>
      </c>
      <c r="E704" s="36"/>
      <c r="F704" s="62">
        <v>0</v>
      </c>
      <c r="G704" s="36"/>
      <c r="H704" s="37"/>
      <c r="I704" s="35">
        <f t="shared" si="322"/>
        <v>7989</v>
      </c>
      <c r="J704" s="36"/>
      <c r="K704" s="62">
        <v>7989</v>
      </c>
      <c r="L704" s="36"/>
      <c r="M704" s="37"/>
      <c r="N704" s="35">
        <f t="shared" si="323"/>
        <v>7989</v>
      </c>
      <c r="O704" s="36"/>
      <c r="P704" s="62">
        <v>7989</v>
      </c>
      <c r="Q704" s="36"/>
      <c r="R704" s="37"/>
      <c r="S704" s="29">
        <f t="shared" si="312"/>
        <v>1</v>
      </c>
      <c r="T704" s="30" t="str">
        <f t="shared" si="313"/>
        <v xml:space="preserve"> </v>
      </c>
      <c r="U704" s="30">
        <f t="shared" si="314"/>
        <v>1</v>
      </c>
      <c r="V704" s="30" t="str">
        <f t="shared" si="315"/>
        <v xml:space="preserve"> </v>
      </c>
      <c r="W704" s="30" t="str">
        <f t="shared" si="315"/>
        <v xml:space="preserve"> </v>
      </c>
    </row>
    <row r="705" spans="1:23" ht="41.1" customHeight="1" x14ac:dyDescent="0.2">
      <c r="A705" s="74"/>
      <c r="B705" s="75"/>
      <c r="C705" s="4" t="s">
        <v>702</v>
      </c>
      <c r="D705" s="35">
        <f t="shared" si="319"/>
        <v>0</v>
      </c>
      <c r="E705" s="36"/>
      <c r="F705" s="62">
        <v>0</v>
      </c>
      <c r="G705" s="36"/>
      <c r="H705" s="37"/>
      <c r="I705" s="35">
        <f t="shared" si="322"/>
        <v>5559.6</v>
      </c>
      <c r="J705" s="36"/>
      <c r="K705" s="62">
        <v>5559.6</v>
      </c>
      <c r="L705" s="36"/>
      <c r="M705" s="37"/>
      <c r="N705" s="35">
        <f t="shared" si="323"/>
        <v>5559.6</v>
      </c>
      <c r="O705" s="36"/>
      <c r="P705" s="62">
        <v>5559.6</v>
      </c>
      <c r="Q705" s="36"/>
      <c r="R705" s="37"/>
      <c r="S705" s="29">
        <f t="shared" si="312"/>
        <v>1</v>
      </c>
      <c r="T705" s="30" t="str">
        <f t="shared" si="313"/>
        <v xml:space="preserve"> </v>
      </c>
      <c r="U705" s="30">
        <f t="shared" si="314"/>
        <v>1</v>
      </c>
      <c r="V705" s="30" t="str">
        <f t="shared" si="315"/>
        <v xml:space="preserve"> </v>
      </c>
      <c r="W705" s="30" t="str">
        <f t="shared" si="315"/>
        <v xml:space="preserve"> </v>
      </c>
    </row>
    <row r="706" spans="1:23" ht="41.1" customHeight="1" x14ac:dyDescent="0.2">
      <c r="A706" s="74"/>
      <c r="B706" s="75"/>
      <c r="C706" s="4" t="s">
        <v>703</v>
      </c>
      <c r="D706" s="35">
        <f t="shared" si="319"/>
        <v>0</v>
      </c>
      <c r="E706" s="36"/>
      <c r="F706" s="62">
        <v>0</v>
      </c>
      <c r="G706" s="36"/>
      <c r="H706" s="37"/>
      <c r="I706" s="35">
        <f t="shared" si="322"/>
        <v>2716.8</v>
      </c>
      <c r="J706" s="36"/>
      <c r="K706" s="62">
        <v>2716.8</v>
      </c>
      <c r="L706" s="36"/>
      <c r="M706" s="37"/>
      <c r="N706" s="35">
        <f t="shared" si="323"/>
        <v>2716.5</v>
      </c>
      <c r="O706" s="36"/>
      <c r="P706" s="62">
        <v>2716.5</v>
      </c>
      <c r="Q706" s="36"/>
      <c r="R706" s="37"/>
      <c r="S706" s="29">
        <f t="shared" si="312"/>
        <v>0.99988957597173134</v>
      </c>
      <c r="T706" s="30" t="str">
        <f t="shared" si="313"/>
        <v xml:space="preserve"> </v>
      </c>
      <c r="U706" s="30">
        <f t="shared" si="314"/>
        <v>0.99988957597173134</v>
      </c>
      <c r="V706" s="30" t="str">
        <f t="shared" si="315"/>
        <v xml:space="preserve"> </v>
      </c>
      <c r="W706" s="30" t="str">
        <f t="shared" si="315"/>
        <v xml:space="preserve"> </v>
      </c>
    </row>
    <row r="707" spans="1:23" ht="41.1" customHeight="1" x14ac:dyDescent="0.2">
      <c r="A707" s="74"/>
      <c r="B707" s="75"/>
      <c r="C707" s="4" t="s">
        <v>704</v>
      </c>
      <c r="D707" s="35">
        <f t="shared" si="319"/>
        <v>0</v>
      </c>
      <c r="E707" s="36"/>
      <c r="F707" s="62">
        <v>0</v>
      </c>
      <c r="G707" s="36"/>
      <c r="H707" s="37"/>
      <c r="I707" s="35">
        <f t="shared" si="322"/>
        <v>4065.5</v>
      </c>
      <c r="J707" s="36"/>
      <c r="K707" s="62">
        <v>4065.5</v>
      </c>
      <c r="L707" s="36"/>
      <c r="M707" s="37"/>
      <c r="N707" s="35">
        <f t="shared" si="323"/>
        <v>4054.5</v>
      </c>
      <c r="O707" s="36"/>
      <c r="P707" s="62">
        <v>4054.5</v>
      </c>
      <c r="Q707" s="36"/>
      <c r="R707" s="37"/>
      <c r="S707" s="29">
        <f t="shared" si="312"/>
        <v>0.99729430574345102</v>
      </c>
      <c r="T707" s="30" t="str">
        <f t="shared" si="313"/>
        <v xml:space="preserve"> </v>
      </c>
      <c r="U707" s="30">
        <f t="shared" si="314"/>
        <v>0.99729430574345102</v>
      </c>
      <c r="V707" s="30" t="str">
        <f t="shared" si="315"/>
        <v xml:space="preserve"> </v>
      </c>
      <c r="W707" s="30" t="str">
        <f t="shared" si="315"/>
        <v xml:space="preserve"> </v>
      </c>
    </row>
    <row r="708" spans="1:23" ht="41.1" customHeight="1" x14ac:dyDescent="0.2">
      <c r="A708" s="74"/>
      <c r="B708" s="75"/>
      <c r="C708" s="4" t="s">
        <v>705</v>
      </c>
      <c r="D708" s="35">
        <f t="shared" si="319"/>
        <v>0</v>
      </c>
      <c r="E708" s="36"/>
      <c r="F708" s="62">
        <v>0</v>
      </c>
      <c r="G708" s="36"/>
      <c r="H708" s="37"/>
      <c r="I708" s="35">
        <f t="shared" si="322"/>
        <v>9721.9</v>
      </c>
      <c r="J708" s="36"/>
      <c r="K708" s="62">
        <v>9721.9</v>
      </c>
      <c r="L708" s="36"/>
      <c r="M708" s="37"/>
      <c r="N708" s="35">
        <f t="shared" si="323"/>
        <v>9721.9</v>
      </c>
      <c r="O708" s="36"/>
      <c r="P708" s="62">
        <v>9721.9</v>
      </c>
      <c r="Q708" s="36"/>
      <c r="R708" s="37"/>
      <c r="S708" s="29">
        <f t="shared" si="312"/>
        <v>1</v>
      </c>
      <c r="T708" s="30" t="str">
        <f t="shared" si="313"/>
        <v xml:space="preserve"> </v>
      </c>
      <c r="U708" s="30">
        <f t="shared" si="314"/>
        <v>1</v>
      </c>
      <c r="V708" s="30" t="str">
        <f t="shared" si="315"/>
        <v xml:space="preserve"> </v>
      </c>
      <c r="W708" s="30" t="str">
        <f t="shared" si="315"/>
        <v xml:space="preserve"> </v>
      </c>
    </row>
    <row r="709" spans="1:23" ht="48" customHeight="1" x14ac:dyDescent="0.2">
      <c r="A709" s="74"/>
      <c r="B709" s="75"/>
      <c r="C709" s="4" t="s">
        <v>706</v>
      </c>
      <c r="D709" s="35">
        <f t="shared" si="319"/>
        <v>0</v>
      </c>
      <c r="E709" s="36"/>
      <c r="F709" s="62">
        <v>0</v>
      </c>
      <c r="G709" s="36"/>
      <c r="H709" s="37"/>
      <c r="I709" s="35">
        <f t="shared" si="322"/>
        <v>10800</v>
      </c>
      <c r="J709" s="36"/>
      <c r="K709" s="62">
        <v>10800</v>
      </c>
      <c r="L709" s="36"/>
      <c r="M709" s="37"/>
      <c r="N709" s="35">
        <f t="shared" si="323"/>
        <v>10800</v>
      </c>
      <c r="O709" s="36"/>
      <c r="P709" s="62">
        <v>10800</v>
      </c>
      <c r="Q709" s="36"/>
      <c r="R709" s="37"/>
      <c r="S709" s="29">
        <f t="shared" si="312"/>
        <v>1</v>
      </c>
      <c r="T709" s="30" t="str">
        <f t="shared" si="313"/>
        <v xml:space="preserve"> </v>
      </c>
      <c r="U709" s="30">
        <f t="shared" si="314"/>
        <v>1</v>
      </c>
      <c r="V709" s="30" t="str">
        <f t="shared" si="315"/>
        <v xml:space="preserve"> </v>
      </c>
      <c r="W709" s="30" t="str">
        <f t="shared" si="315"/>
        <v xml:space="preserve"> </v>
      </c>
    </row>
    <row r="710" spans="1:23" ht="41.1" customHeight="1" x14ac:dyDescent="0.2">
      <c r="A710" s="74"/>
      <c r="B710" s="75"/>
      <c r="C710" s="4" t="s">
        <v>707</v>
      </c>
      <c r="D710" s="35">
        <f t="shared" si="319"/>
        <v>0</v>
      </c>
      <c r="E710" s="36"/>
      <c r="F710" s="62">
        <v>0</v>
      </c>
      <c r="G710" s="36"/>
      <c r="H710" s="37"/>
      <c r="I710" s="35">
        <f t="shared" si="322"/>
        <v>3804</v>
      </c>
      <c r="J710" s="36"/>
      <c r="K710" s="62">
        <v>3804</v>
      </c>
      <c r="L710" s="36"/>
      <c r="M710" s="37"/>
      <c r="N710" s="35">
        <f t="shared" si="323"/>
        <v>3804</v>
      </c>
      <c r="O710" s="36"/>
      <c r="P710" s="62">
        <v>3804</v>
      </c>
      <c r="Q710" s="36"/>
      <c r="R710" s="37"/>
      <c r="S710" s="29">
        <f t="shared" si="312"/>
        <v>1</v>
      </c>
      <c r="T710" s="30" t="str">
        <f t="shared" si="313"/>
        <v xml:space="preserve"> </v>
      </c>
      <c r="U710" s="30">
        <f t="shared" si="314"/>
        <v>1</v>
      </c>
      <c r="V710" s="30" t="str">
        <f t="shared" si="315"/>
        <v xml:space="preserve"> </v>
      </c>
      <c r="W710" s="30" t="str">
        <f t="shared" si="315"/>
        <v xml:space="preserve"> </v>
      </c>
    </row>
    <row r="711" spans="1:23" ht="41.1" customHeight="1" x14ac:dyDescent="0.2">
      <c r="A711" s="74"/>
      <c r="B711" s="75"/>
      <c r="C711" s="4" t="s">
        <v>708</v>
      </c>
      <c r="D711" s="35">
        <f t="shared" si="319"/>
        <v>0</v>
      </c>
      <c r="E711" s="36"/>
      <c r="F711" s="62">
        <v>0</v>
      </c>
      <c r="G711" s="36"/>
      <c r="H711" s="37"/>
      <c r="I711" s="35">
        <f t="shared" si="322"/>
        <v>11043</v>
      </c>
      <c r="J711" s="36"/>
      <c r="K711" s="62">
        <v>11043</v>
      </c>
      <c r="L711" s="36"/>
      <c r="M711" s="37"/>
      <c r="N711" s="35">
        <f t="shared" si="323"/>
        <v>11043</v>
      </c>
      <c r="O711" s="36"/>
      <c r="P711" s="62">
        <v>11043</v>
      </c>
      <c r="Q711" s="36"/>
      <c r="R711" s="37"/>
      <c r="S711" s="29">
        <f t="shared" si="312"/>
        <v>1</v>
      </c>
      <c r="T711" s="30" t="str">
        <f t="shared" si="313"/>
        <v xml:space="preserve"> </v>
      </c>
      <c r="U711" s="30">
        <f t="shared" si="314"/>
        <v>1</v>
      </c>
      <c r="V711" s="30" t="str">
        <f t="shared" si="315"/>
        <v xml:space="preserve"> </v>
      </c>
      <c r="W711" s="30" t="str">
        <f t="shared" si="315"/>
        <v xml:space="preserve"> </v>
      </c>
    </row>
    <row r="712" spans="1:23" ht="51" customHeight="1" x14ac:dyDescent="0.2">
      <c r="A712" s="74"/>
      <c r="B712" s="75"/>
      <c r="C712" s="4" t="s">
        <v>709</v>
      </c>
      <c r="D712" s="35">
        <f t="shared" si="319"/>
        <v>0</v>
      </c>
      <c r="E712" s="36"/>
      <c r="F712" s="62">
        <v>0</v>
      </c>
      <c r="G712" s="36"/>
      <c r="H712" s="37"/>
      <c r="I712" s="35">
        <f t="shared" si="322"/>
        <v>3904</v>
      </c>
      <c r="J712" s="36"/>
      <c r="K712" s="62">
        <v>3904</v>
      </c>
      <c r="L712" s="36"/>
      <c r="M712" s="37"/>
      <c r="N712" s="35">
        <f t="shared" si="323"/>
        <v>3904</v>
      </c>
      <c r="O712" s="36"/>
      <c r="P712" s="62">
        <v>3904</v>
      </c>
      <c r="Q712" s="36"/>
      <c r="R712" s="37"/>
      <c r="S712" s="29">
        <f t="shared" si="312"/>
        <v>1</v>
      </c>
      <c r="T712" s="30" t="str">
        <f t="shared" si="313"/>
        <v xml:space="preserve"> </v>
      </c>
      <c r="U712" s="30">
        <f t="shared" si="314"/>
        <v>1</v>
      </c>
      <c r="V712" s="30" t="str">
        <f t="shared" si="315"/>
        <v xml:space="preserve"> </v>
      </c>
      <c r="W712" s="30" t="str">
        <f t="shared" si="315"/>
        <v xml:space="preserve"> </v>
      </c>
    </row>
    <row r="713" spans="1:23" s="38" customFormat="1" ht="30.75" customHeight="1" x14ac:dyDescent="0.2">
      <c r="A713" s="78"/>
      <c r="B713" s="79"/>
      <c r="C713" s="54" t="s">
        <v>230</v>
      </c>
      <c r="D713" s="55">
        <f t="shared" si="319"/>
        <v>0</v>
      </c>
      <c r="E713" s="56">
        <f>+E714+E715+E716+E717+E718+E719</f>
        <v>0</v>
      </c>
      <c r="F713" s="56">
        <f>+F714+F715+F716+F717+F718+F719</f>
        <v>0</v>
      </c>
      <c r="G713" s="56">
        <f>+G714+G715+G716+G717+G718+G719</f>
        <v>0</v>
      </c>
      <c r="H713" s="57">
        <f>+H714+H715+H716+H717+H718+H719</f>
        <v>0</v>
      </c>
      <c r="I713" s="55">
        <f t="shared" si="322"/>
        <v>164041.9</v>
      </c>
      <c r="J713" s="56">
        <f>+J714+J715+J716+J717+J718+J719</f>
        <v>0</v>
      </c>
      <c r="K713" s="56">
        <f>+K714+K715+K716+K717+K718+K719</f>
        <v>164041.9</v>
      </c>
      <c r="L713" s="56">
        <f>+L714+L715+L716+L717+L718+L719</f>
        <v>0</v>
      </c>
      <c r="M713" s="57">
        <f>+M714+M715+M716+M717+M718+M719</f>
        <v>0</v>
      </c>
      <c r="N713" s="55">
        <f t="shared" si="323"/>
        <v>108799.31</v>
      </c>
      <c r="O713" s="56">
        <f>+O714+O715+O716+O717+O718+O719</f>
        <v>0</v>
      </c>
      <c r="P713" s="56">
        <f>+P714+P715+P716+P717+P718+P719</f>
        <v>108799.31</v>
      </c>
      <c r="Q713" s="56">
        <f>+Q714+Q715+Q716+Q717+Q718+Q719</f>
        <v>0</v>
      </c>
      <c r="R713" s="57">
        <f>+R714+R715+R716+R717+R718+R719</f>
        <v>0</v>
      </c>
      <c r="S713" s="26">
        <f t="shared" si="312"/>
        <v>0.66324097684798822</v>
      </c>
      <c r="T713" s="27" t="str">
        <f t="shared" si="313"/>
        <v xml:space="preserve"> </v>
      </c>
      <c r="U713" s="27">
        <f t="shared" si="314"/>
        <v>0.66324097684798822</v>
      </c>
      <c r="V713" s="27" t="str">
        <f t="shared" si="315"/>
        <v xml:space="preserve"> </v>
      </c>
      <c r="W713" s="27" t="str">
        <f t="shared" si="315"/>
        <v xml:space="preserve"> </v>
      </c>
    </row>
    <row r="714" spans="1:23" ht="45.75" customHeight="1" x14ac:dyDescent="0.2">
      <c r="A714" s="74"/>
      <c r="B714" s="75"/>
      <c r="C714" s="4" t="s">
        <v>710</v>
      </c>
      <c r="D714" s="35">
        <f t="shared" si="319"/>
        <v>0</v>
      </c>
      <c r="E714" s="36"/>
      <c r="F714" s="62">
        <v>0</v>
      </c>
      <c r="G714" s="36"/>
      <c r="H714" s="37"/>
      <c r="I714" s="35">
        <f t="shared" si="322"/>
        <v>48978.1</v>
      </c>
      <c r="J714" s="36"/>
      <c r="K714" s="62">
        <v>48978.1</v>
      </c>
      <c r="L714" s="36"/>
      <c r="M714" s="37"/>
      <c r="N714" s="35">
        <f t="shared" si="323"/>
        <v>44402.43</v>
      </c>
      <c r="O714" s="36"/>
      <c r="P714" s="62">
        <v>44402.43</v>
      </c>
      <c r="Q714" s="36"/>
      <c r="R714" s="37"/>
      <c r="S714" s="29">
        <f t="shared" si="312"/>
        <v>0.90657722533132157</v>
      </c>
      <c r="T714" s="30" t="str">
        <f t="shared" si="313"/>
        <v xml:space="preserve"> </v>
      </c>
      <c r="U714" s="30">
        <f t="shared" si="314"/>
        <v>0.90657722533132157</v>
      </c>
      <c r="V714" s="30" t="str">
        <f t="shared" si="315"/>
        <v xml:space="preserve"> </v>
      </c>
      <c r="W714" s="30" t="str">
        <f t="shared" si="315"/>
        <v xml:space="preserve"> </v>
      </c>
    </row>
    <row r="715" spans="1:23" ht="43.5" customHeight="1" x14ac:dyDescent="0.2">
      <c r="A715" s="74"/>
      <c r="B715" s="75"/>
      <c r="C715" s="4" t="s">
        <v>711</v>
      </c>
      <c r="D715" s="35">
        <f t="shared" si="319"/>
        <v>0</v>
      </c>
      <c r="E715" s="36"/>
      <c r="F715" s="62">
        <v>0</v>
      </c>
      <c r="G715" s="36"/>
      <c r="H715" s="37"/>
      <c r="I715" s="35">
        <f t="shared" si="322"/>
        <v>12040.6</v>
      </c>
      <c r="J715" s="36"/>
      <c r="K715" s="62">
        <v>12040.6</v>
      </c>
      <c r="L715" s="36"/>
      <c r="M715" s="37"/>
      <c r="N715" s="35">
        <f t="shared" si="323"/>
        <v>0</v>
      </c>
      <c r="O715" s="36"/>
      <c r="P715" s="62">
        <v>0</v>
      </c>
      <c r="Q715" s="36"/>
      <c r="R715" s="37"/>
      <c r="S715" s="29">
        <f t="shared" si="312"/>
        <v>0</v>
      </c>
      <c r="T715" s="30" t="str">
        <f t="shared" si="313"/>
        <v xml:space="preserve"> </v>
      </c>
      <c r="U715" s="30">
        <f t="shared" si="314"/>
        <v>0</v>
      </c>
      <c r="V715" s="30" t="str">
        <f t="shared" si="315"/>
        <v xml:space="preserve"> </v>
      </c>
      <c r="W715" s="30" t="str">
        <f t="shared" si="315"/>
        <v xml:space="preserve"> </v>
      </c>
    </row>
    <row r="716" spans="1:23" ht="34.5" customHeight="1" x14ac:dyDescent="0.2">
      <c r="A716" s="74"/>
      <c r="B716" s="75"/>
      <c r="C716" s="4" t="s">
        <v>712</v>
      </c>
      <c r="D716" s="35">
        <f t="shared" si="319"/>
        <v>0</v>
      </c>
      <c r="E716" s="36"/>
      <c r="F716" s="62">
        <v>0</v>
      </c>
      <c r="G716" s="36"/>
      <c r="H716" s="37"/>
      <c r="I716" s="35">
        <f t="shared" si="322"/>
        <v>27465</v>
      </c>
      <c r="J716" s="36"/>
      <c r="K716" s="62">
        <v>27465</v>
      </c>
      <c r="L716" s="36"/>
      <c r="M716" s="37"/>
      <c r="N716" s="35">
        <f t="shared" si="323"/>
        <v>27464.959999999999</v>
      </c>
      <c r="O716" s="36"/>
      <c r="P716" s="62">
        <v>27464.959999999999</v>
      </c>
      <c r="Q716" s="36"/>
      <c r="R716" s="37"/>
      <c r="S716" s="29">
        <f t="shared" si="312"/>
        <v>0.99999854360094664</v>
      </c>
      <c r="T716" s="30" t="str">
        <f t="shared" si="313"/>
        <v xml:space="preserve"> </v>
      </c>
      <c r="U716" s="30">
        <f t="shared" si="314"/>
        <v>0.99999854360094664</v>
      </c>
      <c r="V716" s="30" t="str">
        <f t="shared" si="315"/>
        <v xml:space="preserve"> </v>
      </c>
      <c r="W716" s="30" t="str">
        <f t="shared" si="315"/>
        <v xml:space="preserve"> </v>
      </c>
    </row>
    <row r="717" spans="1:23" ht="33" x14ac:dyDescent="0.2">
      <c r="A717" s="74"/>
      <c r="B717" s="75"/>
      <c r="C717" s="4" t="s">
        <v>713</v>
      </c>
      <c r="D717" s="35">
        <f t="shared" si="319"/>
        <v>0</v>
      </c>
      <c r="E717" s="36"/>
      <c r="F717" s="62">
        <v>0</v>
      </c>
      <c r="G717" s="36"/>
      <c r="H717" s="37"/>
      <c r="I717" s="35">
        <f t="shared" si="322"/>
        <v>36996.799999999996</v>
      </c>
      <c r="J717" s="36"/>
      <c r="K717" s="62">
        <v>36996.799999999996</v>
      </c>
      <c r="L717" s="36"/>
      <c r="M717" s="37"/>
      <c r="N717" s="35">
        <f t="shared" si="323"/>
        <v>36931.919999999998</v>
      </c>
      <c r="O717" s="36"/>
      <c r="P717" s="62">
        <v>36931.919999999998</v>
      </c>
      <c r="Q717" s="36"/>
      <c r="R717" s="37"/>
      <c r="S717" s="29">
        <f t="shared" si="312"/>
        <v>0.99824633481814651</v>
      </c>
      <c r="T717" s="30" t="str">
        <f t="shared" si="313"/>
        <v xml:space="preserve"> </v>
      </c>
      <c r="U717" s="30">
        <f t="shared" si="314"/>
        <v>0.99824633481814651</v>
      </c>
      <c r="V717" s="30" t="str">
        <f t="shared" si="315"/>
        <v xml:space="preserve"> </v>
      </c>
      <c r="W717" s="30" t="str">
        <f t="shared" si="315"/>
        <v xml:space="preserve"> </v>
      </c>
    </row>
    <row r="718" spans="1:23" ht="35.25" customHeight="1" x14ac:dyDescent="0.2">
      <c r="A718" s="74"/>
      <c r="B718" s="75"/>
      <c r="C718" s="4" t="s">
        <v>714</v>
      </c>
      <c r="D718" s="35">
        <f t="shared" si="319"/>
        <v>0</v>
      </c>
      <c r="E718" s="36"/>
      <c r="F718" s="62">
        <v>0</v>
      </c>
      <c r="G718" s="36"/>
      <c r="H718" s="37"/>
      <c r="I718" s="35">
        <f t="shared" si="322"/>
        <v>16246.5</v>
      </c>
      <c r="J718" s="36"/>
      <c r="K718" s="62">
        <v>16246.5</v>
      </c>
      <c r="L718" s="36"/>
      <c r="M718" s="37"/>
      <c r="N718" s="35">
        <f t="shared" si="323"/>
        <v>0</v>
      </c>
      <c r="O718" s="36"/>
      <c r="P718" s="62">
        <v>0</v>
      </c>
      <c r="Q718" s="36"/>
      <c r="R718" s="37"/>
      <c r="S718" s="29">
        <f t="shared" si="312"/>
        <v>0</v>
      </c>
      <c r="T718" s="30" t="str">
        <f t="shared" si="313"/>
        <v xml:space="preserve"> </v>
      </c>
      <c r="U718" s="30">
        <f t="shared" si="314"/>
        <v>0</v>
      </c>
      <c r="V718" s="30" t="str">
        <f t="shared" si="315"/>
        <v xml:space="preserve"> </v>
      </c>
      <c r="W718" s="30" t="str">
        <f t="shared" si="315"/>
        <v xml:space="preserve"> </v>
      </c>
    </row>
    <row r="719" spans="1:23" ht="42" customHeight="1" x14ac:dyDescent="0.2">
      <c r="A719" s="74"/>
      <c r="B719" s="75"/>
      <c r="C719" s="4" t="s">
        <v>715</v>
      </c>
      <c r="D719" s="35">
        <f t="shared" si="319"/>
        <v>0</v>
      </c>
      <c r="E719" s="36"/>
      <c r="F719" s="62">
        <v>0</v>
      </c>
      <c r="G719" s="36"/>
      <c r="H719" s="37"/>
      <c r="I719" s="35">
        <f t="shared" si="322"/>
        <v>22314.9</v>
      </c>
      <c r="J719" s="36"/>
      <c r="K719" s="62">
        <v>22314.9</v>
      </c>
      <c r="L719" s="36"/>
      <c r="M719" s="37"/>
      <c r="N719" s="35">
        <f t="shared" si="323"/>
        <v>0</v>
      </c>
      <c r="O719" s="36"/>
      <c r="P719" s="62">
        <v>0</v>
      </c>
      <c r="Q719" s="36"/>
      <c r="R719" s="37"/>
      <c r="S719" s="29">
        <f t="shared" si="312"/>
        <v>0</v>
      </c>
      <c r="T719" s="30" t="str">
        <f t="shared" si="313"/>
        <v xml:space="preserve"> </v>
      </c>
      <c r="U719" s="30">
        <f t="shared" si="314"/>
        <v>0</v>
      </c>
      <c r="V719" s="30" t="str">
        <f t="shared" si="315"/>
        <v xml:space="preserve"> </v>
      </c>
      <c r="W719" s="30" t="str">
        <f t="shared" si="315"/>
        <v xml:space="preserve"> </v>
      </c>
    </row>
    <row r="720" spans="1:23" s="38" customFormat="1" ht="40.5" customHeight="1" x14ac:dyDescent="0.2">
      <c r="A720" s="78"/>
      <c r="B720" s="79"/>
      <c r="C720" s="54" t="s">
        <v>232</v>
      </c>
      <c r="D720" s="55">
        <f t="shared" si="319"/>
        <v>0</v>
      </c>
      <c r="E720" s="56">
        <f>+E721+E722+E723+E724+E725+E726+E727+E728+E729+E730+E731+E732+E733+E734+E735+E736+E737+E738+E739+E740+E741</f>
        <v>0</v>
      </c>
      <c r="F720" s="56">
        <f>+F721+F722+F723+F724+F725+F726+F727+F728+F729+F730+F731+F732+F733+F734+F735+F736+F737+F738+F739+F740+F741</f>
        <v>0</v>
      </c>
      <c r="G720" s="56">
        <f>+G721+G722+G723+G724+G725+G726+G727+G728+G729+G730+G731+G732+G733+G734+G735+G736+G737+G738+G739+G740+G741</f>
        <v>0</v>
      </c>
      <c r="H720" s="57">
        <f>+H721+H722+H723+H724+H725+H726+H727+H728+H729+H730+H731+H732+H733+H734+H735+H736+H737+H738+H739+H740+H741</f>
        <v>0</v>
      </c>
      <c r="I720" s="55">
        <f t="shared" si="322"/>
        <v>531029</v>
      </c>
      <c r="J720" s="56">
        <f>+J721+J722+J723+J724+J725+J726+J727+J728+J729+J730+J731+J732+J733+J734+J735+J736+J737+J738+J739+J740+J741</f>
        <v>0</v>
      </c>
      <c r="K720" s="56">
        <f>+K721+K722+K723+K724+K725+K726+K727+K728+K729+K730+K731+K732+K733+K734+K735+K736+K737+K738+K739+K740+K741</f>
        <v>531029</v>
      </c>
      <c r="L720" s="56">
        <f>+L721+L722+L723+L724+L725+L726+L727+L728+L729+L730+L731+L732+L733+L734+L735+L736+L737+L738+L739+L740+L741</f>
        <v>0</v>
      </c>
      <c r="M720" s="57">
        <f>+M721+M722+M723+M724+M725+M726+M727+M728+M729+M730+M731+M732+M733+M734+M735+M736+M737+M738+M739+M740+M741</f>
        <v>0</v>
      </c>
      <c r="N720" s="55">
        <f t="shared" si="323"/>
        <v>531018.23999999999</v>
      </c>
      <c r="O720" s="56">
        <f>+O721+O722+O723+O724+O725+O726+O727+O728+O729+O730+O731+O732+O733+O734+O735+O736+O737+O738+O739+O740+O741</f>
        <v>0</v>
      </c>
      <c r="P720" s="56">
        <f>+P721+P722+P723+P724+P725+P726+P727+P728+P729+P730+P731+P732+P733+P734+P735+P736+P737+P738+P739+P740+P741</f>
        <v>531018.23999999999</v>
      </c>
      <c r="Q720" s="56">
        <f>+Q721+Q722+Q723+Q724+Q725+Q726+Q727+Q728+Q729+Q730+Q731+Q732+Q733+Q734+Q735+Q736+Q737+Q738+Q739+Q740+Q741</f>
        <v>0</v>
      </c>
      <c r="R720" s="57">
        <f>+R721+R722+R723+R724+R725+R726+R727+R728+R729+R730+R731+R732+R733+R734+R735+R736+R737+R738+R739+R740+R741</f>
        <v>0</v>
      </c>
      <c r="S720" s="26">
        <f t="shared" si="312"/>
        <v>0.9999797374531334</v>
      </c>
      <c r="T720" s="27" t="str">
        <f t="shared" si="313"/>
        <v xml:space="preserve"> </v>
      </c>
      <c r="U720" s="27">
        <f t="shared" si="314"/>
        <v>0.9999797374531334</v>
      </c>
      <c r="V720" s="27" t="str">
        <f t="shared" si="315"/>
        <v xml:space="preserve"> </v>
      </c>
      <c r="W720" s="27" t="str">
        <f t="shared" si="315"/>
        <v xml:space="preserve"> </v>
      </c>
    </row>
    <row r="721" spans="1:23" ht="44.25" customHeight="1" x14ac:dyDescent="0.2">
      <c r="A721" s="74"/>
      <c r="B721" s="75"/>
      <c r="C721" s="4" t="s">
        <v>716</v>
      </c>
      <c r="D721" s="35">
        <f t="shared" si="319"/>
        <v>0</v>
      </c>
      <c r="E721" s="36"/>
      <c r="F721" s="62">
        <v>0</v>
      </c>
      <c r="G721" s="36"/>
      <c r="H721" s="37"/>
      <c r="I721" s="35">
        <f t="shared" si="322"/>
        <v>68312.5</v>
      </c>
      <c r="J721" s="36"/>
      <c r="K721" s="62">
        <v>68312.5</v>
      </c>
      <c r="L721" s="36"/>
      <c r="M721" s="37"/>
      <c r="N721" s="35">
        <f t="shared" si="323"/>
        <v>68312.3</v>
      </c>
      <c r="O721" s="36"/>
      <c r="P721" s="62">
        <v>68312.3</v>
      </c>
      <c r="Q721" s="36"/>
      <c r="R721" s="37"/>
      <c r="S721" s="29">
        <f t="shared" si="312"/>
        <v>0.99999707227813361</v>
      </c>
      <c r="T721" s="30" t="str">
        <f t="shared" si="313"/>
        <v xml:space="preserve"> </v>
      </c>
      <c r="U721" s="30">
        <f t="shared" si="314"/>
        <v>0.99999707227813361</v>
      </c>
      <c r="V721" s="30" t="str">
        <f t="shared" si="315"/>
        <v xml:space="preserve"> </v>
      </c>
      <c r="W721" s="30" t="str">
        <f t="shared" si="315"/>
        <v xml:space="preserve"> </v>
      </c>
    </row>
    <row r="722" spans="1:23" ht="44.1" customHeight="1" x14ac:dyDescent="0.2">
      <c r="A722" s="74"/>
      <c r="B722" s="75"/>
      <c r="C722" s="4" t="s">
        <v>717</v>
      </c>
      <c r="D722" s="35">
        <f t="shared" si="319"/>
        <v>0</v>
      </c>
      <c r="E722" s="36"/>
      <c r="F722" s="62">
        <v>0</v>
      </c>
      <c r="G722" s="36"/>
      <c r="H722" s="37"/>
      <c r="I722" s="35">
        <f t="shared" si="322"/>
        <v>15640.2</v>
      </c>
      <c r="J722" s="36"/>
      <c r="K722" s="62">
        <v>15640.2</v>
      </c>
      <c r="L722" s="36"/>
      <c r="M722" s="37"/>
      <c r="N722" s="35">
        <f t="shared" si="323"/>
        <v>15640.1</v>
      </c>
      <c r="O722" s="36"/>
      <c r="P722" s="62">
        <v>15640.1</v>
      </c>
      <c r="Q722" s="36"/>
      <c r="R722" s="37"/>
      <c r="S722" s="29">
        <f t="shared" si="312"/>
        <v>0.99999360621986932</v>
      </c>
      <c r="T722" s="30" t="str">
        <f t="shared" si="313"/>
        <v xml:space="preserve"> </v>
      </c>
      <c r="U722" s="30">
        <f t="shared" si="314"/>
        <v>0.99999360621986932</v>
      </c>
      <c r="V722" s="30" t="str">
        <f t="shared" si="315"/>
        <v xml:space="preserve"> </v>
      </c>
      <c r="W722" s="30" t="str">
        <f t="shared" si="315"/>
        <v xml:space="preserve"> </v>
      </c>
    </row>
    <row r="723" spans="1:23" ht="44.1" customHeight="1" x14ac:dyDescent="0.2">
      <c r="A723" s="74"/>
      <c r="B723" s="75"/>
      <c r="C723" s="4" t="s">
        <v>718</v>
      </c>
      <c r="D723" s="35">
        <f t="shared" si="319"/>
        <v>0</v>
      </c>
      <c r="E723" s="36"/>
      <c r="F723" s="62">
        <v>0</v>
      </c>
      <c r="G723" s="36"/>
      <c r="H723" s="37"/>
      <c r="I723" s="35">
        <f t="shared" si="322"/>
        <v>13072</v>
      </c>
      <c r="J723" s="36"/>
      <c r="K723" s="62">
        <v>13072</v>
      </c>
      <c r="L723" s="36"/>
      <c r="M723" s="37"/>
      <c r="N723" s="35">
        <f t="shared" si="323"/>
        <v>13072</v>
      </c>
      <c r="O723" s="36"/>
      <c r="P723" s="62">
        <v>13072</v>
      </c>
      <c r="Q723" s="36"/>
      <c r="R723" s="37"/>
      <c r="S723" s="29">
        <f t="shared" si="312"/>
        <v>1</v>
      </c>
      <c r="T723" s="30" t="str">
        <f t="shared" si="313"/>
        <v xml:space="preserve"> </v>
      </c>
      <c r="U723" s="30">
        <f t="shared" si="314"/>
        <v>1</v>
      </c>
      <c r="V723" s="30" t="str">
        <f t="shared" si="315"/>
        <v xml:space="preserve"> </v>
      </c>
      <c r="W723" s="30" t="str">
        <f t="shared" si="315"/>
        <v xml:space="preserve"> </v>
      </c>
    </row>
    <row r="724" spans="1:23" ht="44.1" customHeight="1" x14ac:dyDescent="0.2">
      <c r="A724" s="74"/>
      <c r="B724" s="75"/>
      <c r="C724" s="4" t="s">
        <v>719</v>
      </c>
      <c r="D724" s="35">
        <f t="shared" si="319"/>
        <v>0</v>
      </c>
      <c r="E724" s="36"/>
      <c r="F724" s="62">
        <v>0</v>
      </c>
      <c r="G724" s="36"/>
      <c r="H724" s="37"/>
      <c r="I724" s="35">
        <f t="shared" si="322"/>
        <v>28372</v>
      </c>
      <c r="J724" s="36"/>
      <c r="K724" s="62">
        <v>28372</v>
      </c>
      <c r="L724" s="36"/>
      <c r="M724" s="37"/>
      <c r="N724" s="35">
        <f t="shared" si="323"/>
        <v>28372</v>
      </c>
      <c r="O724" s="36"/>
      <c r="P724" s="62">
        <v>28372</v>
      </c>
      <c r="Q724" s="36"/>
      <c r="R724" s="37"/>
      <c r="S724" s="29">
        <f t="shared" si="312"/>
        <v>1</v>
      </c>
      <c r="T724" s="30" t="str">
        <f t="shared" si="313"/>
        <v xml:space="preserve"> </v>
      </c>
      <c r="U724" s="30">
        <f t="shared" si="314"/>
        <v>1</v>
      </c>
      <c r="V724" s="30" t="str">
        <f t="shared" si="315"/>
        <v xml:space="preserve"> </v>
      </c>
      <c r="W724" s="30" t="str">
        <f t="shared" si="315"/>
        <v xml:space="preserve"> </v>
      </c>
    </row>
    <row r="725" spans="1:23" ht="44.1" customHeight="1" x14ac:dyDescent="0.2">
      <c r="A725" s="74"/>
      <c r="B725" s="75"/>
      <c r="C725" s="4" t="s">
        <v>720</v>
      </c>
      <c r="D725" s="35">
        <f t="shared" si="319"/>
        <v>0</v>
      </c>
      <c r="E725" s="36"/>
      <c r="F725" s="62">
        <v>0</v>
      </c>
      <c r="G725" s="36"/>
      <c r="H725" s="37"/>
      <c r="I725" s="35">
        <f t="shared" si="322"/>
        <v>20217.8</v>
      </c>
      <c r="J725" s="36"/>
      <c r="K725" s="62">
        <v>20217.8</v>
      </c>
      <c r="L725" s="36"/>
      <c r="M725" s="37"/>
      <c r="N725" s="35">
        <f t="shared" si="323"/>
        <v>20217.8</v>
      </c>
      <c r="O725" s="36"/>
      <c r="P725" s="62">
        <v>20217.8</v>
      </c>
      <c r="Q725" s="36"/>
      <c r="R725" s="37"/>
      <c r="S725" s="29">
        <f t="shared" si="312"/>
        <v>1</v>
      </c>
      <c r="T725" s="30" t="str">
        <f t="shared" si="313"/>
        <v xml:space="preserve"> </v>
      </c>
      <c r="U725" s="30">
        <f t="shared" si="314"/>
        <v>1</v>
      </c>
      <c r="V725" s="30" t="str">
        <f t="shared" si="315"/>
        <v xml:space="preserve"> </v>
      </c>
      <c r="W725" s="30" t="str">
        <f t="shared" si="315"/>
        <v xml:space="preserve"> </v>
      </c>
    </row>
    <row r="726" spans="1:23" ht="44.1" customHeight="1" x14ac:dyDescent="0.2">
      <c r="A726" s="74"/>
      <c r="B726" s="75"/>
      <c r="C726" s="4" t="s">
        <v>721</v>
      </c>
      <c r="D726" s="35">
        <f t="shared" si="319"/>
        <v>0</v>
      </c>
      <c r="E726" s="36"/>
      <c r="F726" s="62">
        <v>0</v>
      </c>
      <c r="G726" s="36"/>
      <c r="H726" s="37"/>
      <c r="I726" s="35">
        <f t="shared" si="322"/>
        <v>16675.8</v>
      </c>
      <c r="J726" s="36"/>
      <c r="K726" s="62">
        <v>16675.8</v>
      </c>
      <c r="L726" s="36"/>
      <c r="M726" s="37"/>
      <c r="N726" s="35">
        <f t="shared" si="323"/>
        <v>16675.8</v>
      </c>
      <c r="O726" s="36"/>
      <c r="P726" s="62">
        <v>16675.8</v>
      </c>
      <c r="Q726" s="36"/>
      <c r="R726" s="37"/>
      <c r="S726" s="29">
        <f t="shared" si="312"/>
        <v>1</v>
      </c>
      <c r="T726" s="30" t="str">
        <f t="shared" si="313"/>
        <v xml:space="preserve"> </v>
      </c>
      <c r="U726" s="30">
        <f t="shared" si="314"/>
        <v>1</v>
      </c>
      <c r="V726" s="30" t="str">
        <f t="shared" si="315"/>
        <v xml:space="preserve"> </v>
      </c>
      <c r="W726" s="30" t="str">
        <f t="shared" si="315"/>
        <v xml:space="preserve"> </v>
      </c>
    </row>
    <row r="727" spans="1:23" ht="44.1" customHeight="1" x14ac:dyDescent="0.2">
      <c r="A727" s="74"/>
      <c r="B727" s="75"/>
      <c r="C727" s="4" t="s">
        <v>722</v>
      </c>
      <c r="D727" s="35">
        <f t="shared" si="319"/>
        <v>0</v>
      </c>
      <c r="E727" s="36"/>
      <c r="F727" s="62">
        <v>0</v>
      </c>
      <c r="G727" s="36"/>
      <c r="H727" s="37"/>
      <c r="I727" s="35">
        <f t="shared" si="322"/>
        <v>25580.799999999999</v>
      </c>
      <c r="J727" s="36"/>
      <c r="K727" s="62">
        <v>25580.799999999999</v>
      </c>
      <c r="L727" s="36"/>
      <c r="M727" s="37"/>
      <c r="N727" s="35">
        <f t="shared" si="323"/>
        <v>25580.7</v>
      </c>
      <c r="O727" s="36"/>
      <c r="P727" s="62">
        <v>25580.7</v>
      </c>
      <c r="Q727" s="36"/>
      <c r="R727" s="37"/>
      <c r="S727" s="29">
        <f t="shared" ref="S727:S790" si="324">IF(I727=0," ",N727/I727)</f>
        <v>0.99999609081811369</v>
      </c>
      <c r="T727" s="30" t="str">
        <f t="shared" ref="T727:T790" si="325">IF(J727=0," ",O727/J727)</f>
        <v xml:space="preserve"> </v>
      </c>
      <c r="U727" s="30">
        <f t="shared" ref="U727:U790" si="326">IF(K727=0," ",P727/K727)</f>
        <v>0.99999609081811369</v>
      </c>
      <c r="V727" s="30" t="str">
        <f t="shared" ref="V727:W790" si="327">IF(L727=0," ",Q727/L727)</f>
        <v xml:space="preserve"> </v>
      </c>
      <c r="W727" s="30" t="str">
        <f t="shared" si="327"/>
        <v xml:space="preserve"> </v>
      </c>
    </row>
    <row r="728" spans="1:23" ht="44.1" customHeight="1" x14ac:dyDescent="0.2">
      <c r="A728" s="74"/>
      <c r="B728" s="75"/>
      <c r="C728" s="4" t="s">
        <v>723</v>
      </c>
      <c r="D728" s="35">
        <f t="shared" si="319"/>
        <v>0</v>
      </c>
      <c r="E728" s="36"/>
      <c r="F728" s="62">
        <v>0</v>
      </c>
      <c r="G728" s="36"/>
      <c r="H728" s="37"/>
      <c r="I728" s="35">
        <f t="shared" si="322"/>
        <v>55964</v>
      </c>
      <c r="J728" s="36"/>
      <c r="K728" s="62">
        <v>55964</v>
      </c>
      <c r="L728" s="36"/>
      <c r="M728" s="37"/>
      <c r="N728" s="35">
        <f t="shared" si="323"/>
        <v>55963.9</v>
      </c>
      <c r="O728" s="36"/>
      <c r="P728" s="62">
        <v>55963.9</v>
      </c>
      <c r="Q728" s="36"/>
      <c r="R728" s="37"/>
      <c r="S728" s="29">
        <f t="shared" si="324"/>
        <v>0.99999821313701664</v>
      </c>
      <c r="T728" s="30" t="str">
        <f t="shared" si="325"/>
        <v xml:space="preserve"> </v>
      </c>
      <c r="U728" s="30">
        <f t="shared" si="326"/>
        <v>0.99999821313701664</v>
      </c>
      <c r="V728" s="30" t="str">
        <f t="shared" si="327"/>
        <v xml:space="preserve"> </v>
      </c>
      <c r="W728" s="30" t="str">
        <f t="shared" si="327"/>
        <v xml:space="preserve"> </v>
      </c>
    </row>
    <row r="729" spans="1:23" ht="44.1" customHeight="1" x14ac:dyDescent="0.2">
      <c r="A729" s="74"/>
      <c r="B729" s="75"/>
      <c r="C729" s="4" t="s">
        <v>724</v>
      </c>
      <c r="D729" s="35">
        <f t="shared" si="319"/>
        <v>0</v>
      </c>
      <c r="E729" s="36"/>
      <c r="F729" s="62">
        <v>0</v>
      </c>
      <c r="G729" s="36"/>
      <c r="H729" s="37"/>
      <c r="I729" s="35">
        <f t="shared" si="322"/>
        <v>9195.9</v>
      </c>
      <c r="J729" s="36"/>
      <c r="K729" s="62">
        <v>9195.9</v>
      </c>
      <c r="L729" s="36"/>
      <c r="M729" s="37"/>
      <c r="N729" s="35">
        <f t="shared" si="323"/>
        <v>9186.9</v>
      </c>
      <c r="O729" s="36"/>
      <c r="P729" s="62">
        <v>9186.9</v>
      </c>
      <c r="Q729" s="36"/>
      <c r="R729" s="37"/>
      <c r="S729" s="29">
        <f t="shared" si="324"/>
        <v>0.99902130297197667</v>
      </c>
      <c r="T729" s="30" t="str">
        <f t="shared" si="325"/>
        <v xml:space="preserve"> </v>
      </c>
      <c r="U729" s="30">
        <f t="shared" si="326"/>
        <v>0.99902130297197667</v>
      </c>
      <c r="V729" s="30" t="str">
        <f t="shared" si="327"/>
        <v xml:space="preserve"> </v>
      </c>
      <c r="W729" s="30" t="str">
        <f t="shared" si="327"/>
        <v xml:space="preserve"> </v>
      </c>
    </row>
    <row r="730" spans="1:23" ht="44.1" customHeight="1" x14ac:dyDescent="0.2">
      <c r="A730" s="74"/>
      <c r="B730" s="75"/>
      <c r="C730" s="4" t="s">
        <v>725</v>
      </c>
      <c r="D730" s="35">
        <f t="shared" si="319"/>
        <v>0</v>
      </c>
      <c r="E730" s="36"/>
      <c r="F730" s="62">
        <v>0</v>
      </c>
      <c r="G730" s="36"/>
      <c r="H730" s="37"/>
      <c r="I730" s="35">
        <f t="shared" si="322"/>
        <v>11703.3</v>
      </c>
      <c r="J730" s="36"/>
      <c r="K730" s="62">
        <v>11703.3</v>
      </c>
      <c r="L730" s="36"/>
      <c r="M730" s="37"/>
      <c r="N730" s="35">
        <f t="shared" si="323"/>
        <v>11703.3</v>
      </c>
      <c r="O730" s="36"/>
      <c r="P730" s="62">
        <v>11703.3</v>
      </c>
      <c r="Q730" s="36"/>
      <c r="R730" s="37"/>
      <c r="S730" s="29">
        <f t="shared" si="324"/>
        <v>1</v>
      </c>
      <c r="T730" s="30" t="str">
        <f t="shared" si="325"/>
        <v xml:space="preserve"> </v>
      </c>
      <c r="U730" s="30">
        <f t="shared" si="326"/>
        <v>1</v>
      </c>
      <c r="V730" s="30" t="str">
        <f t="shared" si="327"/>
        <v xml:space="preserve"> </v>
      </c>
      <c r="W730" s="30" t="str">
        <f t="shared" si="327"/>
        <v xml:space="preserve"> </v>
      </c>
    </row>
    <row r="731" spans="1:23" ht="44.1" customHeight="1" x14ac:dyDescent="0.2">
      <c r="A731" s="74"/>
      <c r="B731" s="75"/>
      <c r="C731" s="4" t="s">
        <v>726</v>
      </c>
      <c r="D731" s="35">
        <f t="shared" si="319"/>
        <v>0</v>
      </c>
      <c r="E731" s="36"/>
      <c r="F731" s="62">
        <v>0</v>
      </c>
      <c r="G731" s="36"/>
      <c r="H731" s="37"/>
      <c r="I731" s="35">
        <f t="shared" si="322"/>
        <v>55154</v>
      </c>
      <c r="J731" s="36"/>
      <c r="K731" s="62">
        <v>55154</v>
      </c>
      <c r="L731" s="36"/>
      <c r="M731" s="37"/>
      <c r="N731" s="35">
        <f t="shared" si="323"/>
        <v>55154</v>
      </c>
      <c r="O731" s="36"/>
      <c r="P731" s="62">
        <v>55154</v>
      </c>
      <c r="Q731" s="36"/>
      <c r="R731" s="37"/>
      <c r="S731" s="29">
        <f t="shared" si="324"/>
        <v>1</v>
      </c>
      <c r="T731" s="30" t="str">
        <f t="shared" si="325"/>
        <v xml:space="preserve"> </v>
      </c>
      <c r="U731" s="30">
        <f t="shared" si="326"/>
        <v>1</v>
      </c>
      <c r="V731" s="30" t="str">
        <f t="shared" si="327"/>
        <v xml:space="preserve"> </v>
      </c>
      <c r="W731" s="30" t="str">
        <f t="shared" si="327"/>
        <v xml:space="preserve"> </v>
      </c>
    </row>
    <row r="732" spans="1:23" ht="44.1" customHeight="1" x14ac:dyDescent="0.2">
      <c r="A732" s="74"/>
      <c r="B732" s="75"/>
      <c r="C732" s="4" t="s">
        <v>727</v>
      </c>
      <c r="D732" s="35">
        <f t="shared" si="319"/>
        <v>0</v>
      </c>
      <c r="E732" s="36"/>
      <c r="F732" s="62">
        <v>0</v>
      </c>
      <c r="G732" s="36"/>
      <c r="H732" s="37"/>
      <c r="I732" s="35">
        <f t="shared" si="322"/>
        <v>53132.5</v>
      </c>
      <c r="J732" s="36"/>
      <c r="K732" s="62">
        <v>53132.5</v>
      </c>
      <c r="L732" s="36"/>
      <c r="M732" s="37"/>
      <c r="N732" s="35">
        <f t="shared" si="323"/>
        <v>53132.4</v>
      </c>
      <c r="O732" s="36"/>
      <c r="P732" s="62">
        <v>53132.4</v>
      </c>
      <c r="Q732" s="36"/>
      <c r="R732" s="37"/>
      <c r="S732" s="29">
        <f t="shared" si="324"/>
        <v>0.99999811791276527</v>
      </c>
      <c r="T732" s="30" t="str">
        <f t="shared" si="325"/>
        <v xml:space="preserve"> </v>
      </c>
      <c r="U732" s="30">
        <f t="shared" si="326"/>
        <v>0.99999811791276527</v>
      </c>
      <c r="V732" s="30" t="str">
        <f t="shared" si="327"/>
        <v xml:space="preserve"> </v>
      </c>
      <c r="W732" s="30" t="str">
        <f t="shared" si="327"/>
        <v xml:space="preserve"> </v>
      </c>
    </row>
    <row r="733" spans="1:23" ht="44.1" customHeight="1" x14ac:dyDescent="0.2">
      <c r="A733" s="74"/>
      <c r="B733" s="75"/>
      <c r="C733" s="4" t="s">
        <v>728</v>
      </c>
      <c r="D733" s="35">
        <f t="shared" si="319"/>
        <v>0</v>
      </c>
      <c r="E733" s="36"/>
      <c r="F733" s="62">
        <v>0</v>
      </c>
      <c r="G733" s="36"/>
      <c r="H733" s="37"/>
      <c r="I733" s="35">
        <f t="shared" si="322"/>
        <v>28626</v>
      </c>
      <c r="J733" s="36"/>
      <c r="K733" s="62">
        <v>28626</v>
      </c>
      <c r="L733" s="36"/>
      <c r="M733" s="37"/>
      <c r="N733" s="35">
        <f t="shared" si="323"/>
        <v>28626</v>
      </c>
      <c r="O733" s="36"/>
      <c r="P733" s="62">
        <v>28626</v>
      </c>
      <c r="Q733" s="36"/>
      <c r="R733" s="37"/>
      <c r="S733" s="29">
        <f t="shared" si="324"/>
        <v>1</v>
      </c>
      <c r="T733" s="30" t="str">
        <f t="shared" si="325"/>
        <v xml:space="preserve"> </v>
      </c>
      <c r="U733" s="30">
        <f t="shared" si="326"/>
        <v>1</v>
      </c>
      <c r="V733" s="30" t="str">
        <f t="shared" si="327"/>
        <v xml:space="preserve"> </v>
      </c>
      <c r="W733" s="30" t="str">
        <f t="shared" si="327"/>
        <v xml:space="preserve"> </v>
      </c>
    </row>
    <row r="734" spans="1:23" ht="44.1" customHeight="1" x14ac:dyDescent="0.2">
      <c r="A734" s="74"/>
      <c r="B734" s="75"/>
      <c r="C734" s="4" t="s">
        <v>729</v>
      </c>
      <c r="D734" s="35">
        <f t="shared" si="319"/>
        <v>0</v>
      </c>
      <c r="E734" s="36"/>
      <c r="F734" s="62">
        <v>0</v>
      </c>
      <c r="G734" s="36"/>
      <c r="H734" s="37"/>
      <c r="I734" s="35">
        <f t="shared" si="322"/>
        <v>14450.8</v>
      </c>
      <c r="J734" s="36"/>
      <c r="K734" s="62">
        <v>14450.8</v>
      </c>
      <c r="L734" s="36"/>
      <c r="M734" s="37"/>
      <c r="N734" s="35">
        <f t="shared" si="323"/>
        <v>14450.8</v>
      </c>
      <c r="O734" s="36"/>
      <c r="P734" s="62">
        <v>14450.8</v>
      </c>
      <c r="Q734" s="36"/>
      <c r="R734" s="37"/>
      <c r="S734" s="29">
        <f t="shared" si="324"/>
        <v>1</v>
      </c>
      <c r="T734" s="30" t="str">
        <f t="shared" si="325"/>
        <v xml:space="preserve"> </v>
      </c>
      <c r="U734" s="30">
        <f t="shared" si="326"/>
        <v>1</v>
      </c>
      <c r="V734" s="30" t="str">
        <f t="shared" si="327"/>
        <v xml:space="preserve"> </v>
      </c>
      <c r="W734" s="30" t="str">
        <f t="shared" si="327"/>
        <v xml:space="preserve"> </v>
      </c>
    </row>
    <row r="735" spans="1:23" ht="44.1" customHeight="1" x14ac:dyDescent="0.2">
      <c r="A735" s="74"/>
      <c r="B735" s="75"/>
      <c r="C735" s="4" t="s">
        <v>730</v>
      </c>
      <c r="D735" s="35">
        <f t="shared" si="319"/>
        <v>0</v>
      </c>
      <c r="E735" s="36"/>
      <c r="F735" s="62">
        <v>0</v>
      </c>
      <c r="G735" s="36"/>
      <c r="H735" s="37"/>
      <c r="I735" s="35">
        <f t="shared" si="322"/>
        <v>9529.7999999999993</v>
      </c>
      <c r="J735" s="36"/>
      <c r="K735" s="62">
        <v>9529.7999999999993</v>
      </c>
      <c r="L735" s="36"/>
      <c r="M735" s="37"/>
      <c r="N735" s="35">
        <f t="shared" si="323"/>
        <v>9529.7999999999993</v>
      </c>
      <c r="O735" s="36"/>
      <c r="P735" s="62">
        <v>9529.7999999999993</v>
      </c>
      <c r="Q735" s="36"/>
      <c r="R735" s="37"/>
      <c r="S735" s="29">
        <f t="shared" si="324"/>
        <v>1</v>
      </c>
      <c r="T735" s="30" t="str">
        <f t="shared" si="325"/>
        <v xml:space="preserve"> </v>
      </c>
      <c r="U735" s="30">
        <f t="shared" si="326"/>
        <v>1</v>
      </c>
      <c r="V735" s="30" t="str">
        <f t="shared" si="327"/>
        <v xml:space="preserve"> </v>
      </c>
      <c r="W735" s="30" t="str">
        <f t="shared" si="327"/>
        <v xml:space="preserve"> </v>
      </c>
    </row>
    <row r="736" spans="1:23" ht="44.1" customHeight="1" x14ac:dyDescent="0.2">
      <c r="A736" s="74"/>
      <c r="B736" s="75"/>
      <c r="C736" s="4" t="s">
        <v>731</v>
      </c>
      <c r="D736" s="35">
        <f>SUM(E736:H736)</f>
        <v>0</v>
      </c>
      <c r="E736" s="36"/>
      <c r="F736" s="62">
        <v>0</v>
      </c>
      <c r="G736" s="36"/>
      <c r="H736" s="37"/>
      <c r="I736" s="35">
        <f t="shared" si="322"/>
        <v>10631</v>
      </c>
      <c r="J736" s="36"/>
      <c r="K736" s="62">
        <v>10631</v>
      </c>
      <c r="L736" s="36"/>
      <c r="M736" s="37"/>
      <c r="N736" s="35">
        <f t="shared" si="323"/>
        <v>10631</v>
      </c>
      <c r="O736" s="36"/>
      <c r="P736" s="62">
        <v>10631</v>
      </c>
      <c r="Q736" s="36"/>
      <c r="R736" s="37"/>
      <c r="S736" s="29">
        <f t="shared" si="324"/>
        <v>1</v>
      </c>
      <c r="T736" s="30" t="str">
        <f t="shared" si="325"/>
        <v xml:space="preserve"> </v>
      </c>
      <c r="U736" s="30">
        <f t="shared" si="326"/>
        <v>1</v>
      </c>
      <c r="V736" s="30" t="str">
        <f t="shared" si="327"/>
        <v xml:space="preserve"> </v>
      </c>
      <c r="W736" s="30" t="str">
        <f t="shared" si="327"/>
        <v xml:space="preserve"> </v>
      </c>
    </row>
    <row r="737" spans="1:23" ht="44.1" customHeight="1" x14ac:dyDescent="0.2">
      <c r="A737" s="74"/>
      <c r="B737" s="75"/>
      <c r="C737" s="4" t="s">
        <v>732</v>
      </c>
      <c r="D737" s="35">
        <f>SUM(E737:H737)</f>
        <v>0</v>
      </c>
      <c r="E737" s="36"/>
      <c r="F737" s="62">
        <v>0</v>
      </c>
      <c r="G737" s="36"/>
      <c r="H737" s="37"/>
      <c r="I737" s="35">
        <f t="shared" si="322"/>
        <v>13577.900000000001</v>
      </c>
      <c r="J737" s="36"/>
      <c r="K737" s="62">
        <v>13577.900000000001</v>
      </c>
      <c r="L737" s="36"/>
      <c r="M737" s="37"/>
      <c r="N737" s="35">
        <f t="shared" si="323"/>
        <v>13577.900000000001</v>
      </c>
      <c r="O737" s="36"/>
      <c r="P737" s="62">
        <v>13577.900000000001</v>
      </c>
      <c r="Q737" s="36"/>
      <c r="R737" s="37"/>
      <c r="S737" s="29">
        <f t="shared" si="324"/>
        <v>1</v>
      </c>
      <c r="T737" s="30" t="str">
        <f t="shared" si="325"/>
        <v xml:space="preserve"> </v>
      </c>
      <c r="U737" s="30">
        <f t="shared" si="326"/>
        <v>1</v>
      </c>
      <c r="V737" s="30" t="str">
        <f t="shared" si="327"/>
        <v xml:space="preserve"> </v>
      </c>
      <c r="W737" s="30" t="str">
        <f t="shared" si="327"/>
        <v xml:space="preserve"> </v>
      </c>
    </row>
    <row r="738" spans="1:23" ht="44.1" customHeight="1" x14ac:dyDescent="0.2">
      <c r="A738" s="74"/>
      <c r="B738" s="75"/>
      <c r="C738" s="4" t="s">
        <v>733</v>
      </c>
      <c r="D738" s="35">
        <f>SUM(E738:H738)</f>
        <v>0</v>
      </c>
      <c r="E738" s="36"/>
      <c r="F738" s="62">
        <v>0</v>
      </c>
      <c r="G738" s="36"/>
      <c r="H738" s="37"/>
      <c r="I738" s="35">
        <f t="shared" si="322"/>
        <v>12840.9</v>
      </c>
      <c r="J738" s="36"/>
      <c r="K738" s="62">
        <v>12840.9</v>
      </c>
      <c r="L738" s="36"/>
      <c r="M738" s="37"/>
      <c r="N738" s="35">
        <f t="shared" si="323"/>
        <v>12840.5</v>
      </c>
      <c r="O738" s="36"/>
      <c r="P738" s="62">
        <v>12840.5</v>
      </c>
      <c r="Q738" s="36"/>
      <c r="R738" s="37"/>
      <c r="S738" s="29">
        <f t="shared" si="324"/>
        <v>0.99996884953546872</v>
      </c>
      <c r="T738" s="30" t="str">
        <f t="shared" si="325"/>
        <v xml:space="preserve"> </v>
      </c>
      <c r="U738" s="30">
        <f t="shared" si="326"/>
        <v>0.99996884953546872</v>
      </c>
      <c r="V738" s="30" t="str">
        <f t="shared" si="327"/>
        <v xml:space="preserve"> </v>
      </c>
      <c r="W738" s="30" t="str">
        <f t="shared" si="327"/>
        <v xml:space="preserve"> </v>
      </c>
    </row>
    <row r="739" spans="1:23" ht="44.1" customHeight="1" x14ac:dyDescent="0.2">
      <c r="A739" s="74"/>
      <c r="B739" s="75"/>
      <c r="C739" s="4" t="s">
        <v>734</v>
      </c>
      <c r="D739" s="35">
        <f>SUM(E739:H739)</f>
        <v>0</v>
      </c>
      <c r="E739" s="36"/>
      <c r="F739" s="62">
        <v>0</v>
      </c>
      <c r="G739" s="36"/>
      <c r="H739" s="37"/>
      <c r="I739" s="35">
        <f t="shared" si="322"/>
        <v>23569.100000000002</v>
      </c>
      <c r="J739" s="36"/>
      <c r="K739" s="62">
        <v>23569.100000000002</v>
      </c>
      <c r="L739" s="36"/>
      <c r="M739" s="37"/>
      <c r="N739" s="35">
        <f t="shared" si="323"/>
        <v>23568.6</v>
      </c>
      <c r="O739" s="36"/>
      <c r="P739" s="62">
        <v>23568.6</v>
      </c>
      <c r="Q739" s="36"/>
      <c r="R739" s="37"/>
      <c r="S739" s="29">
        <f t="shared" si="324"/>
        <v>0.99997878578308019</v>
      </c>
      <c r="T739" s="30" t="str">
        <f t="shared" si="325"/>
        <v xml:space="preserve"> </v>
      </c>
      <c r="U739" s="30">
        <f t="shared" si="326"/>
        <v>0.99997878578308019</v>
      </c>
      <c r="V739" s="30" t="str">
        <f t="shared" si="327"/>
        <v xml:space="preserve"> </v>
      </c>
      <c r="W739" s="30" t="str">
        <f t="shared" si="327"/>
        <v xml:space="preserve"> </v>
      </c>
    </row>
    <row r="740" spans="1:23" ht="44.1" customHeight="1" x14ac:dyDescent="0.2">
      <c r="A740" s="74"/>
      <c r="B740" s="75"/>
      <c r="C740" s="4" t="s">
        <v>735</v>
      </c>
      <c r="D740" s="35">
        <f t="shared" si="319"/>
        <v>0</v>
      </c>
      <c r="E740" s="36"/>
      <c r="F740" s="62">
        <v>0</v>
      </c>
      <c r="G740" s="36"/>
      <c r="H740" s="37"/>
      <c r="I740" s="35">
        <f t="shared" si="322"/>
        <v>10918.1</v>
      </c>
      <c r="J740" s="36"/>
      <c r="K740" s="62">
        <v>10918.1</v>
      </c>
      <c r="L740" s="36"/>
      <c r="M740" s="37"/>
      <c r="N740" s="35">
        <f t="shared" si="323"/>
        <v>10917.98</v>
      </c>
      <c r="O740" s="36"/>
      <c r="P740" s="62">
        <v>10917.98</v>
      </c>
      <c r="Q740" s="36"/>
      <c r="R740" s="37"/>
      <c r="S740" s="29">
        <f t="shared" si="324"/>
        <v>0.99998900907667077</v>
      </c>
      <c r="T740" s="30" t="str">
        <f t="shared" si="325"/>
        <v xml:space="preserve"> </v>
      </c>
      <c r="U740" s="30">
        <f t="shared" si="326"/>
        <v>0.99998900907667077</v>
      </c>
      <c r="V740" s="30" t="str">
        <f t="shared" si="327"/>
        <v xml:space="preserve"> </v>
      </c>
      <c r="W740" s="30" t="str">
        <f t="shared" si="327"/>
        <v xml:space="preserve"> </v>
      </c>
    </row>
    <row r="741" spans="1:23" ht="44.1" customHeight="1" x14ac:dyDescent="0.2">
      <c r="A741" s="74"/>
      <c r="B741" s="75"/>
      <c r="C741" s="4" t="s">
        <v>736</v>
      </c>
      <c r="D741" s="35">
        <f t="shared" ref="D741:D753" si="328">SUM(E741:H741)</f>
        <v>0</v>
      </c>
      <c r="E741" s="36"/>
      <c r="F741" s="62">
        <v>0</v>
      </c>
      <c r="G741" s="36"/>
      <c r="H741" s="37"/>
      <c r="I741" s="35">
        <f t="shared" si="322"/>
        <v>33864.6</v>
      </c>
      <c r="J741" s="36"/>
      <c r="K741" s="62">
        <v>33864.6</v>
      </c>
      <c r="L741" s="36"/>
      <c r="M741" s="37"/>
      <c r="N741" s="35">
        <f t="shared" si="323"/>
        <v>33864.46</v>
      </c>
      <c r="O741" s="36"/>
      <c r="P741" s="62">
        <v>33864.46</v>
      </c>
      <c r="Q741" s="36"/>
      <c r="R741" s="37"/>
      <c r="S741" s="29">
        <f t="shared" si="324"/>
        <v>0.99999586588945388</v>
      </c>
      <c r="T741" s="30" t="str">
        <f t="shared" si="325"/>
        <v xml:space="preserve"> </v>
      </c>
      <c r="U741" s="30">
        <f t="shared" si="326"/>
        <v>0.99999586588945388</v>
      </c>
      <c r="V741" s="30" t="str">
        <f t="shared" si="327"/>
        <v xml:space="preserve"> </v>
      </c>
      <c r="W741" s="30" t="str">
        <f t="shared" si="327"/>
        <v xml:space="preserve"> </v>
      </c>
    </row>
    <row r="742" spans="1:23" s="38" customFormat="1" ht="31.5" customHeight="1" x14ac:dyDescent="0.2">
      <c r="A742" s="78"/>
      <c r="B742" s="79"/>
      <c r="C742" s="54" t="s">
        <v>134</v>
      </c>
      <c r="D742" s="55">
        <f t="shared" si="328"/>
        <v>0</v>
      </c>
      <c r="E742" s="56">
        <f>+E743+E744+E745+E746+E747+E748+E749+E750+E751+E752+E753</f>
        <v>0</v>
      </c>
      <c r="F742" s="56">
        <f>+F743+F744+F745+F746+F747+F748+F749+F750+F751+F752+F753</f>
        <v>0</v>
      </c>
      <c r="G742" s="56">
        <f>+G743+G744+G745+G746+G747+G748+G749+G750+G751+G752+G753</f>
        <v>0</v>
      </c>
      <c r="H742" s="57">
        <f>+H743+H744+H745+H746+H747+H748+H749+H750+H751+H752+H753</f>
        <v>0</v>
      </c>
      <c r="I742" s="55">
        <f t="shared" si="322"/>
        <v>281286.40000000002</v>
      </c>
      <c r="J742" s="56">
        <f>+J743+J744+J745+J746+J747+J748+J749+J750+J751+J752+J753</f>
        <v>0</v>
      </c>
      <c r="K742" s="56">
        <f>+K743+K744+K745+K746+K747+K748+K749+K750+K751+K752+K753</f>
        <v>281286.40000000002</v>
      </c>
      <c r="L742" s="56">
        <f>+L743+L744+L745+L746+L747+L748+L749+L750+L751+L752+L753</f>
        <v>0</v>
      </c>
      <c r="M742" s="57">
        <f>+M743+M744+M745+M746+M747+M748+M749+M750+M751+M752+M753</f>
        <v>0</v>
      </c>
      <c r="N742" s="55">
        <f t="shared" si="323"/>
        <v>274204.16000000003</v>
      </c>
      <c r="O742" s="56">
        <f>+O743+O744+O745+O746+O747+O748+O749+O750+O751+O752+O753</f>
        <v>0</v>
      </c>
      <c r="P742" s="56">
        <f>+P743+P744+P745+P746+P747+P748+P749+P750+P751+P752+P753</f>
        <v>274204.16000000003</v>
      </c>
      <c r="Q742" s="56">
        <f>+Q743+Q744+Q745+Q746+Q747+Q748+Q749+Q750+Q751+Q752+Q753</f>
        <v>0</v>
      </c>
      <c r="R742" s="57">
        <f>+R743+R744+R745+R746+R747+R748+R749+R750+R751+R752+R753</f>
        <v>0</v>
      </c>
      <c r="S742" s="26">
        <f t="shared" si="324"/>
        <v>0.97482196082000416</v>
      </c>
      <c r="T742" s="27" t="str">
        <f t="shared" si="325"/>
        <v xml:space="preserve"> </v>
      </c>
      <c r="U742" s="27">
        <f t="shared" si="326"/>
        <v>0.97482196082000416</v>
      </c>
      <c r="V742" s="27" t="str">
        <f t="shared" si="327"/>
        <v xml:space="preserve"> </v>
      </c>
      <c r="W742" s="27" t="str">
        <f t="shared" si="327"/>
        <v xml:space="preserve"> </v>
      </c>
    </row>
    <row r="743" spans="1:23" ht="42" customHeight="1" x14ac:dyDescent="0.2">
      <c r="A743" s="74"/>
      <c r="B743" s="75"/>
      <c r="C743" s="4" t="s">
        <v>737</v>
      </c>
      <c r="D743" s="35">
        <f t="shared" si="328"/>
        <v>0</v>
      </c>
      <c r="E743" s="36"/>
      <c r="F743" s="62">
        <v>0</v>
      </c>
      <c r="G743" s="36"/>
      <c r="H743" s="37"/>
      <c r="I743" s="35">
        <f t="shared" si="322"/>
        <v>55691</v>
      </c>
      <c r="J743" s="36"/>
      <c r="K743" s="62">
        <v>55691</v>
      </c>
      <c r="L743" s="36"/>
      <c r="M743" s="37"/>
      <c r="N743" s="35">
        <f t="shared" si="323"/>
        <v>55691</v>
      </c>
      <c r="O743" s="36"/>
      <c r="P743" s="62">
        <v>55691</v>
      </c>
      <c r="Q743" s="36"/>
      <c r="R743" s="37"/>
      <c r="S743" s="29">
        <f t="shared" si="324"/>
        <v>1</v>
      </c>
      <c r="T743" s="30" t="str">
        <f t="shared" si="325"/>
        <v xml:space="preserve"> </v>
      </c>
      <c r="U743" s="30">
        <f t="shared" si="326"/>
        <v>1</v>
      </c>
      <c r="V743" s="30" t="str">
        <f t="shared" si="327"/>
        <v xml:space="preserve"> </v>
      </c>
      <c r="W743" s="30" t="str">
        <f t="shared" si="327"/>
        <v xml:space="preserve"> </v>
      </c>
    </row>
    <row r="744" spans="1:23" ht="33" x14ac:dyDescent="0.2">
      <c r="A744" s="74"/>
      <c r="B744" s="75"/>
      <c r="C744" s="4" t="s">
        <v>738</v>
      </c>
      <c r="D744" s="35">
        <f t="shared" si="328"/>
        <v>0</v>
      </c>
      <c r="E744" s="36"/>
      <c r="F744" s="62">
        <v>0</v>
      </c>
      <c r="G744" s="36"/>
      <c r="H744" s="37"/>
      <c r="I744" s="35">
        <f t="shared" si="322"/>
        <v>4988.8999999999996</v>
      </c>
      <c r="J744" s="36"/>
      <c r="K744" s="62">
        <v>4988.8999999999996</v>
      </c>
      <c r="L744" s="36"/>
      <c r="M744" s="37"/>
      <c r="N744" s="35">
        <f t="shared" si="323"/>
        <v>4988.8999999999996</v>
      </c>
      <c r="O744" s="36"/>
      <c r="P744" s="62">
        <v>4988.8999999999996</v>
      </c>
      <c r="Q744" s="36"/>
      <c r="R744" s="37"/>
      <c r="S744" s="29">
        <f t="shared" si="324"/>
        <v>1</v>
      </c>
      <c r="T744" s="30" t="str">
        <f t="shared" si="325"/>
        <v xml:space="preserve"> </v>
      </c>
      <c r="U744" s="30">
        <f t="shared" si="326"/>
        <v>1</v>
      </c>
      <c r="V744" s="30" t="str">
        <f t="shared" si="327"/>
        <v xml:space="preserve"> </v>
      </c>
      <c r="W744" s="30" t="str">
        <f t="shared" si="327"/>
        <v xml:space="preserve"> </v>
      </c>
    </row>
    <row r="745" spans="1:23" ht="43.5" customHeight="1" x14ac:dyDescent="0.2">
      <c r="A745" s="74"/>
      <c r="B745" s="75"/>
      <c r="C745" s="4" t="s">
        <v>739</v>
      </c>
      <c r="D745" s="35">
        <f t="shared" si="328"/>
        <v>0</v>
      </c>
      <c r="E745" s="36"/>
      <c r="F745" s="62">
        <v>0</v>
      </c>
      <c r="G745" s="36"/>
      <c r="H745" s="37"/>
      <c r="I745" s="35">
        <f t="shared" si="322"/>
        <v>23646.7</v>
      </c>
      <c r="J745" s="36"/>
      <c r="K745" s="62">
        <v>23646.7</v>
      </c>
      <c r="L745" s="36"/>
      <c r="M745" s="37"/>
      <c r="N745" s="35">
        <f t="shared" si="323"/>
        <v>23646.7</v>
      </c>
      <c r="O745" s="36"/>
      <c r="P745" s="62">
        <v>23646.7</v>
      </c>
      <c r="Q745" s="36"/>
      <c r="R745" s="37"/>
      <c r="S745" s="29">
        <f t="shared" si="324"/>
        <v>1</v>
      </c>
      <c r="T745" s="30" t="str">
        <f t="shared" si="325"/>
        <v xml:space="preserve"> </v>
      </c>
      <c r="U745" s="30">
        <f t="shared" si="326"/>
        <v>1</v>
      </c>
      <c r="V745" s="30" t="str">
        <f t="shared" si="327"/>
        <v xml:space="preserve"> </v>
      </c>
      <c r="W745" s="30" t="str">
        <f t="shared" si="327"/>
        <v xml:space="preserve"> </v>
      </c>
    </row>
    <row r="746" spans="1:23" ht="48" customHeight="1" x14ac:dyDescent="0.2">
      <c r="A746" s="74"/>
      <c r="B746" s="75"/>
      <c r="C746" s="4" t="s">
        <v>740</v>
      </c>
      <c r="D746" s="35">
        <f t="shared" si="328"/>
        <v>0</v>
      </c>
      <c r="E746" s="36"/>
      <c r="F746" s="62">
        <v>0</v>
      </c>
      <c r="G746" s="36"/>
      <c r="H746" s="37"/>
      <c r="I746" s="35">
        <f t="shared" si="322"/>
        <v>29441</v>
      </c>
      <c r="J746" s="36"/>
      <c r="K746" s="62">
        <v>29441</v>
      </c>
      <c r="L746" s="36"/>
      <c r="M746" s="37"/>
      <c r="N746" s="35">
        <f t="shared" si="323"/>
        <v>29441</v>
      </c>
      <c r="O746" s="36"/>
      <c r="P746" s="62">
        <v>29441</v>
      </c>
      <c r="Q746" s="36"/>
      <c r="R746" s="37"/>
      <c r="S746" s="29">
        <f t="shared" si="324"/>
        <v>1</v>
      </c>
      <c r="T746" s="30" t="str">
        <f t="shared" si="325"/>
        <v xml:space="preserve"> </v>
      </c>
      <c r="U746" s="30">
        <f t="shared" si="326"/>
        <v>1</v>
      </c>
      <c r="V746" s="30" t="str">
        <f t="shared" si="327"/>
        <v xml:space="preserve"> </v>
      </c>
      <c r="W746" s="30" t="str">
        <f t="shared" si="327"/>
        <v xml:space="preserve"> </v>
      </c>
    </row>
    <row r="747" spans="1:23" ht="43.5" customHeight="1" x14ac:dyDescent="0.2">
      <c r="A747" s="74"/>
      <c r="B747" s="75"/>
      <c r="C747" s="4" t="s">
        <v>741</v>
      </c>
      <c r="D747" s="35">
        <f t="shared" si="328"/>
        <v>0</v>
      </c>
      <c r="E747" s="36"/>
      <c r="F747" s="62">
        <v>0</v>
      </c>
      <c r="G747" s="36"/>
      <c r="H747" s="37"/>
      <c r="I747" s="35">
        <f t="shared" si="322"/>
        <v>36696.300000000003</v>
      </c>
      <c r="J747" s="36"/>
      <c r="K747" s="62">
        <v>36696.300000000003</v>
      </c>
      <c r="L747" s="36"/>
      <c r="M747" s="37"/>
      <c r="N747" s="35">
        <f t="shared" si="323"/>
        <v>36693.26</v>
      </c>
      <c r="O747" s="36"/>
      <c r="P747" s="62">
        <v>36693.26</v>
      </c>
      <c r="Q747" s="36"/>
      <c r="R747" s="37"/>
      <c r="S747" s="29">
        <f t="shared" si="324"/>
        <v>0.99991715786060176</v>
      </c>
      <c r="T747" s="30" t="str">
        <f t="shared" si="325"/>
        <v xml:space="preserve"> </v>
      </c>
      <c r="U747" s="30">
        <f t="shared" si="326"/>
        <v>0.99991715786060176</v>
      </c>
      <c r="V747" s="30" t="str">
        <f t="shared" si="327"/>
        <v xml:space="preserve"> </v>
      </c>
      <c r="W747" s="30" t="str">
        <f t="shared" si="327"/>
        <v xml:space="preserve"> </v>
      </c>
    </row>
    <row r="748" spans="1:23" ht="33.75" customHeight="1" x14ac:dyDescent="0.2">
      <c r="A748" s="74"/>
      <c r="B748" s="75"/>
      <c r="C748" s="4" t="s">
        <v>742</v>
      </c>
      <c r="D748" s="35">
        <f t="shared" si="328"/>
        <v>0</v>
      </c>
      <c r="E748" s="36"/>
      <c r="F748" s="62">
        <v>0</v>
      </c>
      <c r="G748" s="36"/>
      <c r="H748" s="37"/>
      <c r="I748" s="35">
        <f t="shared" si="322"/>
        <v>45418.7</v>
      </c>
      <c r="J748" s="36"/>
      <c r="K748" s="62">
        <v>45418.7</v>
      </c>
      <c r="L748" s="36"/>
      <c r="M748" s="37"/>
      <c r="N748" s="35">
        <f t="shared" si="323"/>
        <v>45418.7</v>
      </c>
      <c r="O748" s="36"/>
      <c r="P748" s="62">
        <v>45418.7</v>
      </c>
      <c r="Q748" s="36"/>
      <c r="R748" s="37"/>
      <c r="S748" s="29">
        <f t="shared" si="324"/>
        <v>1</v>
      </c>
      <c r="T748" s="30" t="str">
        <f t="shared" si="325"/>
        <v xml:space="preserve"> </v>
      </c>
      <c r="U748" s="30">
        <f t="shared" si="326"/>
        <v>1</v>
      </c>
      <c r="V748" s="30" t="str">
        <f t="shared" si="327"/>
        <v xml:space="preserve"> </v>
      </c>
      <c r="W748" s="30" t="str">
        <f t="shared" si="327"/>
        <v xml:space="preserve"> </v>
      </c>
    </row>
    <row r="749" spans="1:23" ht="42" customHeight="1" x14ac:dyDescent="0.2">
      <c r="A749" s="74"/>
      <c r="B749" s="75"/>
      <c r="C749" s="4" t="s">
        <v>743</v>
      </c>
      <c r="D749" s="35">
        <f t="shared" si="328"/>
        <v>0</v>
      </c>
      <c r="E749" s="36"/>
      <c r="F749" s="62">
        <v>0</v>
      </c>
      <c r="G749" s="36"/>
      <c r="H749" s="37"/>
      <c r="I749" s="35">
        <f t="shared" si="322"/>
        <v>12143.5</v>
      </c>
      <c r="J749" s="36"/>
      <c r="K749" s="62">
        <v>12143.5</v>
      </c>
      <c r="L749" s="36"/>
      <c r="M749" s="37"/>
      <c r="N749" s="35">
        <f t="shared" si="323"/>
        <v>12143.5</v>
      </c>
      <c r="O749" s="36"/>
      <c r="P749" s="62">
        <v>12143.5</v>
      </c>
      <c r="Q749" s="36"/>
      <c r="R749" s="37"/>
      <c r="S749" s="29">
        <f t="shared" si="324"/>
        <v>1</v>
      </c>
      <c r="T749" s="30" t="str">
        <f t="shared" si="325"/>
        <v xml:space="preserve"> </v>
      </c>
      <c r="U749" s="30">
        <f t="shared" si="326"/>
        <v>1</v>
      </c>
      <c r="V749" s="30" t="str">
        <f t="shared" si="327"/>
        <v xml:space="preserve"> </v>
      </c>
      <c r="W749" s="30" t="str">
        <f t="shared" si="327"/>
        <v xml:space="preserve"> </v>
      </c>
    </row>
    <row r="750" spans="1:23" ht="31.5" customHeight="1" x14ac:dyDescent="0.2">
      <c r="A750" s="74"/>
      <c r="B750" s="75"/>
      <c r="C750" s="4" t="s">
        <v>744</v>
      </c>
      <c r="D750" s="35">
        <f t="shared" si="328"/>
        <v>0</v>
      </c>
      <c r="E750" s="36"/>
      <c r="F750" s="62">
        <v>0</v>
      </c>
      <c r="G750" s="36"/>
      <c r="H750" s="37"/>
      <c r="I750" s="35">
        <f t="shared" si="322"/>
        <v>10475.200000000001</v>
      </c>
      <c r="J750" s="36"/>
      <c r="K750" s="62">
        <v>10475.200000000001</v>
      </c>
      <c r="L750" s="36"/>
      <c r="M750" s="37"/>
      <c r="N750" s="35">
        <f t="shared" si="323"/>
        <v>10475.200000000001</v>
      </c>
      <c r="O750" s="36"/>
      <c r="P750" s="62">
        <v>10475.200000000001</v>
      </c>
      <c r="Q750" s="36"/>
      <c r="R750" s="37"/>
      <c r="S750" s="29">
        <f t="shared" si="324"/>
        <v>1</v>
      </c>
      <c r="T750" s="30" t="str">
        <f t="shared" si="325"/>
        <v xml:space="preserve"> </v>
      </c>
      <c r="U750" s="30">
        <f t="shared" si="326"/>
        <v>1</v>
      </c>
      <c r="V750" s="30" t="str">
        <f t="shared" si="327"/>
        <v xml:space="preserve"> </v>
      </c>
      <c r="W750" s="30" t="str">
        <f t="shared" si="327"/>
        <v xml:space="preserve"> </v>
      </c>
    </row>
    <row r="751" spans="1:23" ht="31.5" customHeight="1" x14ac:dyDescent="0.2">
      <c r="A751" s="74"/>
      <c r="B751" s="75"/>
      <c r="C751" s="4" t="s">
        <v>745</v>
      </c>
      <c r="D751" s="35">
        <f t="shared" si="328"/>
        <v>0</v>
      </c>
      <c r="E751" s="36"/>
      <c r="F751" s="62">
        <v>0</v>
      </c>
      <c r="G751" s="36"/>
      <c r="H751" s="37"/>
      <c r="I751" s="35">
        <f t="shared" ref="I751:I753" si="329">SUM(J751:M751)</f>
        <v>17234.2</v>
      </c>
      <c r="J751" s="36"/>
      <c r="K751" s="62">
        <v>17234.2</v>
      </c>
      <c r="L751" s="36"/>
      <c r="M751" s="37"/>
      <c r="N751" s="35">
        <f t="shared" ref="N751:N753" si="330">SUM(O751:R751)</f>
        <v>17234.2</v>
      </c>
      <c r="O751" s="36"/>
      <c r="P751" s="62">
        <v>17234.2</v>
      </c>
      <c r="Q751" s="36"/>
      <c r="R751" s="37"/>
      <c r="S751" s="29">
        <f t="shared" si="324"/>
        <v>1</v>
      </c>
      <c r="T751" s="30" t="str">
        <f t="shared" si="325"/>
        <v xml:space="preserve"> </v>
      </c>
      <c r="U751" s="30">
        <f t="shared" si="326"/>
        <v>1</v>
      </c>
      <c r="V751" s="30" t="str">
        <f t="shared" si="327"/>
        <v xml:space="preserve"> </v>
      </c>
      <c r="W751" s="30" t="str">
        <f t="shared" si="327"/>
        <v xml:space="preserve"> </v>
      </c>
    </row>
    <row r="752" spans="1:23" ht="31.5" customHeight="1" x14ac:dyDescent="0.2">
      <c r="A752" s="74"/>
      <c r="B752" s="75"/>
      <c r="C752" s="4" t="s">
        <v>746</v>
      </c>
      <c r="D752" s="35">
        <f t="shared" si="328"/>
        <v>0</v>
      </c>
      <c r="E752" s="36"/>
      <c r="F752" s="62">
        <v>0</v>
      </c>
      <c r="G752" s="36"/>
      <c r="H752" s="37"/>
      <c r="I752" s="35">
        <f t="shared" si="329"/>
        <v>15977.4</v>
      </c>
      <c r="J752" s="36"/>
      <c r="K752" s="62">
        <v>15977.4</v>
      </c>
      <c r="L752" s="36"/>
      <c r="M752" s="37"/>
      <c r="N752" s="35">
        <f t="shared" si="330"/>
        <v>15977.4</v>
      </c>
      <c r="O752" s="36"/>
      <c r="P752" s="62">
        <v>15977.4</v>
      </c>
      <c r="Q752" s="36"/>
      <c r="R752" s="37"/>
      <c r="S752" s="29">
        <f t="shared" si="324"/>
        <v>1</v>
      </c>
      <c r="T752" s="30" t="str">
        <f t="shared" si="325"/>
        <v xml:space="preserve"> </v>
      </c>
      <c r="U752" s="30">
        <f t="shared" si="326"/>
        <v>1</v>
      </c>
      <c r="V752" s="30" t="str">
        <f t="shared" si="327"/>
        <v xml:space="preserve"> </v>
      </c>
      <c r="W752" s="30" t="str">
        <f t="shared" si="327"/>
        <v xml:space="preserve"> </v>
      </c>
    </row>
    <row r="753" spans="1:23" ht="45" customHeight="1" x14ac:dyDescent="0.2">
      <c r="A753" s="74"/>
      <c r="B753" s="75"/>
      <c r="C753" s="4" t="s">
        <v>747</v>
      </c>
      <c r="D753" s="35">
        <f t="shared" si="328"/>
        <v>0</v>
      </c>
      <c r="E753" s="36"/>
      <c r="F753" s="62">
        <v>0</v>
      </c>
      <c r="G753" s="36"/>
      <c r="H753" s="37"/>
      <c r="I753" s="35">
        <f t="shared" si="329"/>
        <v>29573.5</v>
      </c>
      <c r="J753" s="36"/>
      <c r="K753" s="62">
        <v>29573.5</v>
      </c>
      <c r="L753" s="36"/>
      <c r="M753" s="37"/>
      <c r="N753" s="35">
        <f t="shared" si="330"/>
        <v>22494.300000000003</v>
      </c>
      <c r="O753" s="36"/>
      <c r="P753" s="62">
        <v>22494.300000000003</v>
      </c>
      <c r="Q753" s="36"/>
      <c r="R753" s="37"/>
      <c r="S753" s="29">
        <f t="shared" si="324"/>
        <v>0.76062353120192072</v>
      </c>
      <c r="T753" s="30" t="str">
        <f t="shared" si="325"/>
        <v xml:space="preserve"> </v>
      </c>
      <c r="U753" s="30">
        <f t="shared" si="326"/>
        <v>0.76062353120192072</v>
      </c>
      <c r="V753" s="30" t="str">
        <f t="shared" si="327"/>
        <v xml:space="preserve"> </v>
      </c>
      <c r="W753" s="30" t="str">
        <f t="shared" si="327"/>
        <v xml:space="preserve"> </v>
      </c>
    </row>
    <row r="754" spans="1:23" ht="51.75" customHeight="1" x14ac:dyDescent="0.2">
      <c r="A754" s="72">
        <v>1183</v>
      </c>
      <c r="B754" s="76">
        <v>32002</v>
      </c>
      <c r="C754" s="1" t="s">
        <v>106</v>
      </c>
      <c r="D754" s="5">
        <f>SUM(E754:H754)</f>
        <v>1033837.2</v>
      </c>
      <c r="E754" s="6">
        <f>+E756+E758</f>
        <v>1033837.2</v>
      </c>
      <c r="F754" s="6">
        <f>+F756+F758</f>
        <v>0</v>
      </c>
      <c r="G754" s="6">
        <f>+G756+G758</f>
        <v>0</v>
      </c>
      <c r="H754" s="7">
        <f>+H756+H758</f>
        <v>0</v>
      </c>
      <c r="I754" s="5">
        <f>SUM(J754:M754)</f>
        <v>695547.2</v>
      </c>
      <c r="J754" s="6">
        <f>+J756+J758</f>
        <v>695547.2</v>
      </c>
      <c r="K754" s="6">
        <f>+K756+K758</f>
        <v>0</v>
      </c>
      <c r="L754" s="6">
        <f>+L756+L758</f>
        <v>0</v>
      </c>
      <c r="M754" s="7">
        <f>+M756+M758</f>
        <v>0</v>
      </c>
      <c r="N754" s="5">
        <f>SUM(O754:R754)</f>
        <v>694829.10800000001</v>
      </c>
      <c r="O754" s="6">
        <f>+O756+O758</f>
        <v>694829.10800000001</v>
      </c>
      <c r="P754" s="6">
        <f>+P756+P758</f>
        <v>0</v>
      </c>
      <c r="Q754" s="6">
        <f>+Q756+Q758</f>
        <v>0</v>
      </c>
      <c r="R754" s="7">
        <f>+R756+R758</f>
        <v>0</v>
      </c>
      <c r="S754" s="26">
        <f t="shared" si="324"/>
        <v>0.99896758695887222</v>
      </c>
      <c r="T754" s="27">
        <f t="shared" si="325"/>
        <v>0.99896758695887222</v>
      </c>
      <c r="U754" s="27" t="str">
        <f t="shared" si="326"/>
        <v xml:space="preserve"> </v>
      </c>
      <c r="V754" s="27" t="str">
        <f t="shared" si="327"/>
        <v xml:space="preserve"> </v>
      </c>
      <c r="W754" s="27" t="str">
        <f t="shared" si="327"/>
        <v xml:space="preserve"> </v>
      </c>
    </row>
    <row r="755" spans="1:23" ht="24.75" customHeight="1" x14ac:dyDescent="0.2">
      <c r="A755" s="74"/>
      <c r="B755" s="75"/>
      <c r="C755" s="4" t="s">
        <v>10</v>
      </c>
      <c r="D755" s="35"/>
      <c r="E755" s="36"/>
      <c r="F755" s="36"/>
      <c r="G755" s="36"/>
      <c r="H755" s="37"/>
      <c r="I755" s="35"/>
      <c r="J755" s="36"/>
      <c r="K755" s="36"/>
      <c r="L755" s="36"/>
      <c r="M755" s="37"/>
      <c r="N755" s="35"/>
      <c r="O755" s="36"/>
      <c r="P755" s="36"/>
      <c r="Q755" s="36"/>
      <c r="R755" s="37"/>
      <c r="S755" s="29" t="str">
        <f t="shared" si="324"/>
        <v xml:space="preserve"> </v>
      </c>
      <c r="T755" s="30" t="str">
        <f t="shared" si="325"/>
        <v xml:space="preserve"> </v>
      </c>
      <c r="U755" s="30" t="str">
        <f t="shared" si="326"/>
        <v xml:space="preserve"> </v>
      </c>
      <c r="V755" s="30" t="str">
        <f t="shared" si="327"/>
        <v xml:space="preserve"> </v>
      </c>
      <c r="W755" s="30" t="str">
        <f t="shared" si="327"/>
        <v xml:space="preserve"> </v>
      </c>
    </row>
    <row r="756" spans="1:23" s="38" customFormat="1" ht="27" customHeight="1" x14ac:dyDescent="0.2">
      <c r="A756" s="78"/>
      <c r="B756" s="79"/>
      <c r="C756" s="54" t="s">
        <v>227</v>
      </c>
      <c r="D756" s="55">
        <f t="shared" ref="D756:D764" si="331">SUM(E756:H756)</f>
        <v>551074.9</v>
      </c>
      <c r="E756" s="56">
        <f>+E757</f>
        <v>551074.9</v>
      </c>
      <c r="F756" s="56">
        <f>+F757</f>
        <v>0</v>
      </c>
      <c r="G756" s="56">
        <f>+G757</f>
        <v>0</v>
      </c>
      <c r="H756" s="57">
        <f>+H757</f>
        <v>0</v>
      </c>
      <c r="I756" s="55">
        <f t="shared" ref="I756:I784" si="332">SUM(J756:M756)</f>
        <v>358633.2</v>
      </c>
      <c r="J756" s="56">
        <f>+J757</f>
        <v>358633.2</v>
      </c>
      <c r="K756" s="56">
        <f>+K757</f>
        <v>0</v>
      </c>
      <c r="L756" s="56">
        <f>+L757</f>
        <v>0</v>
      </c>
      <c r="M756" s="57">
        <f>+M757</f>
        <v>0</v>
      </c>
      <c r="N756" s="55">
        <f t="shared" ref="N756:N784" si="333">SUM(O756:R756)</f>
        <v>358242.90700000006</v>
      </c>
      <c r="O756" s="56">
        <f>+O757</f>
        <v>358242.90700000006</v>
      </c>
      <c r="P756" s="56">
        <f>+P757</f>
        <v>0</v>
      </c>
      <c r="Q756" s="56">
        <f>+Q757</f>
        <v>0</v>
      </c>
      <c r="R756" s="57">
        <f>+R757</f>
        <v>0</v>
      </c>
      <c r="S756" s="26">
        <f t="shared" si="324"/>
        <v>0.99891172094496561</v>
      </c>
      <c r="T756" s="27">
        <f t="shared" si="325"/>
        <v>0.99891172094496561</v>
      </c>
      <c r="U756" s="27" t="str">
        <f t="shared" si="326"/>
        <v xml:space="preserve"> </v>
      </c>
      <c r="V756" s="27" t="str">
        <f t="shared" si="327"/>
        <v xml:space="preserve"> </v>
      </c>
      <c r="W756" s="27" t="str">
        <f t="shared" si="327"/>
        <v xml:space="preserve"> </v>
      </c>
    </row>
    <row r="757" spans="1:23" ht="27.75" customHeight="1" x14ac:dyDescent="0.2">
      <c r="A757" s="74"/>
      <c r="B757" s="75"/>
      <c r="C757" s="4" t="s">
        <v>107</v>
      </c>
      <c r="D757" s="35">
        <f t="shared" si="331"/>
        <v>551074.9</v>
      </c>
      <c r="E757" s="36">
        <v>551074.9</v>
      </c>
      <c r="F757" s="62"/>
      <c r="G757" s="36"/>
      <c r="H757" s="37"/>
      <c r="I757" s="35">
        <f t="shared" si="332"/>
        <v>358633.2</v>
      </c>
      <c r="J757" s="36">
        <v>358633.2</v>
      </c>
      <c r="K757" s="62"/>
      <c r="L757" s="36"/>
      <c r="M757" s="37"/>
      <c r="N757" s="35">
        <f t="shared" si="333"/>
        <v>358242.90700000006</v>
      </c>
      <c r="O757" s="36">
        <v>358242.90700000006</v>
      </c>
      <c r="P757" s="62"/>
      <c r="Q757" s="36"/>
      <c r="R757" s="37"/>
      <c r="S757" s="29">
        <f t="shared" si="324"/>
        <v>0.99891172094496561</v>
      </c>
      <c r="T757" s="30">
        <f t="shared" si="325"/>
        <v>0.99891172094496561</v>
      </c>
      <c r="U757" s="30" t="str">
        <f t="shared" si="326"/>
        <v xml:space="preserve"> </v>
      </c>
      <c r="V757" s="30" t="str">
        <f t="shared" si="327"/>
        <v xml:space="preserve"> </v>
      </c>
      <c r="W757" s="30" t="str">
        <f t="shared" si="327"/>
        <v xml:space="preserve"> </v>
      </c>
    </row>
    <row r="758" spans="1:23" s="38" customFormat="1" ht="32.25" customHeight="1" x14ac:dyDescent="0.2">
      <c r="A758" s="78"/>
      <c r="B758" s="79"/>
      <c r="C758" s="54" t="s">
        <v>594</v>
      </c>
      <c r="D758" s="55">
        <f t="shared" si="331"/>
        <v>482762.3</v>
      </c>
      <c r="E758" s="56">
        <f>+E759+E760</f>
        <v>482762.3</v>
      </c>
      <c r="F758" s="56">
        <f>+F759+F760</f>
        <v>0</v>
      </c>
      <c r="G758" s="56">
        <f>+G759+G760</f>
        <v>0</v>
      </c>
      <c r="H758" s="57">
        <f>+H759+H760</f>
        <v>0</v>
      </c>
      <c r="I758" s="55">
        <f t="shared" si="332"/>
        <v>336914</v>
      </c>
      <c r="J758" s="56">
        <f>+J759+J760</f>
        <v>336914</v>
      </c>
      <c r="K758" s="56">
        <f>+K759+K760</f>
        <v>0</v>
      </c>
      <c r="L758" s="56">
        <f>+L759+L760</f>
        <v>0</v>
      </c>
      <c r="M758" s="57">
        <f>+M759+M760</f>
        <v>0</v>
      </c>
      <c r="N758" s="55">
        <f t="shared" si="333"/>
        <v>336586.201</v>
      </c>
      <c r="O758" s="56">
        <f>+O759+O760</f>
        <v>336586.201</v>
      </c>
      <c r="P758" s="56">
        <f>+P759+P760</f>
        <v>0</v>
      </c>
      <c r="Q758" s="56">
        <f>+Q759+Q760</f>
        <v>0</v>
      </c>
      <c r="R758" s="57">
        <f>+R759+R760</f>
        <v>0</v>
      </c>
      <c r="S758" s="26">
        <f t="shared" si="324"/>
        <v>0.99902705438183037</v>
      </c>
      <c r="T758" s="27">
        <f t="shared" si="325"/>
        <v>0.99902705438183037</v>
      </c>
      <c r="U758" s="27" t="str">
        <f t="shared" si="326"/>
        <v xml:space="preserve"> </v>
      </c>
      <c r="V758" s="27" t="str">
        <f t="shared" si="327"/>
        <v xml:space="preserve"> </v>
      </c>
      <c r="W758" s="27" t="str">
        <f t="shared" si="327"/>
        <v xml:space="preserve"> </v>
      </c>
    </row>
    <row r="759" spans="1:23" ht="46.5" customHeight="1" x14ac:dyDescent="0.2">
      <c r="A759" s="74"/>
      <c r="B759" s="75"/>
      <c r="C759" s="4" t="s">
        <v>748</v>
      </c>
      <c r="D759" s="35">
        <f>SUM(E759:H759)</f>
        <v>482762.3</v>
      </c>
      <c r="E759" s="36">
        <v>482762.3</v>
      </c>
      <c r="F759" s="62"/>
      <c r="G759" s="36"/>
      <c r="H759" s="37"/>
      <c r="I759" s="35">
        <f>SUM(J759:M759)</f>
        <v>0</v>
      </c>
      <c r="J759" s="36">
        <v>0</v>
      </c>
      <c r="K759" s="62"/>
      <c r="L759" s="36"/>
      <c r="M759" s="37"/>
      <c r="N759" s="35">
        <f>SUM(O759:R759)</f>
        <v>0</v>
      </c>
      <c r="O759" s="36">
        <v>0</v>
      </c>
      <c r="P759" s="62"/>
      <c r="Q759" s="36"/>
      <c r="R759" s="37"/>
      <c r="S759" s="29" t="str">
        <f t="shared" si="324"/>
        <v xml:space="preserve"> </v>
      </c>
      <c r="T759" s="30" t="str">
        <f t="shared" si="325"/>
        <v xml:space="preserve"> </v>
      </c>
      <c r="U759" s="30" t="str">
        <f t="shared" si="326"/>
        <v xml:space="preserve"> </v>
      </c>
      <c r="V759" s="30" t="str">
        <f t="shared" si="327"/>
        <v xml:space="preserve"> </v>
      </c>
      <c r="W759" s="30" t="str">
        <f t="shared" si="327"/>
        <v xml:space="preserve"> </v>
      </c>
    </row>
    <row r="760" spans="1:23" ht="46.5" customHeight="1" x14ac:dyDescent="0.2">
      <c r="A760" s="74"/>
      <c r="B760" s="75"/>
      <c r="C760" s="4" t="s">
        <v>749</v>
      </c>
      <c r="D760" s="35">
        <f t="shared" si="331"/>
        <v>0</v>
      </c>
      <c r="E760" s="36">
        <v>0</v>
      </c>
      <c r="F760" s="62"/>
      <c r="G760" s="36"/>
      <c r="H760" s="37"/>
      <c r="I760" s="35">
        <f t="shared" si="332"/>
        <v>336914</v>
      </c>
      <c r="J760" s="36">
        <v>336914</v>
      </c>
      <c r="K760" s="62"/>
      <c r="L760" s="36"/>
      <c r="M760" s="37"/>
      <c r="N760" s="35">
        <f t="shared" si="333"/>
        <v>336586.201</v>
      </c>
      <c r="O760" s="36">
        <v>336586.201</v>
      </c>
      <c r="P760" s="62"/>
      <c r="Q760" s="36"/>
      <c r="R760" s="37"/>
      <c r="S760" s="29">
        <f t="shared" si="324"/>
        <v>0.99902705438183037</v>
      </c>
      <c r="T760" s="30">
        <f t="shared" si="325"/>
        <v>0.99902705438183037</v>
      </c>
      <c r="U760" s="30" t="str">
        <f t="shared" si="326"/>
        <v xml:space="preserve"> </v>
      </c>
      <c r="V760" s="30" t="str">
        <f t="shared" si="327"/>
        <v xml:space="preserve"> </v>
      </c>
      <c r="W760" s="30" t="str">
        <f t="shared" si="327"/>
        <v xml:space="preserve"> </v>
      </c>
    </row>
    <row r="761" spans="1:23" ht="78" customHeight="1" x14ac:dyDescent="0.2">
      <c r="A761" s="72">
        <v>1183</v>
      </c>
      <c r="B761" s="76">
        <v>32003</v>
      </c>
      <c r="C761" s="1" t="s">
        <v>15</v>
      </c>
      <c r="D761" s="5">
        <f t="shared" si="331"/>
        <v>8085579.2999999998</v>
      </c>
      <c r="E761" s="6">
        <f>+E763+E766+E768+E770+E774+E777+E780+E784+E800+E804+8085579.3</f>
        <v>8085579.2999999998</v>
      </c>
      <c r="F761" s="6">
        <f>+F763+F766+F768+F770+F774+F777+F780+F784+F800+F804</f>
        <v>0</v>
      </c>
      <c r="G761" s="6">
        <f>+G763+G766+G768+G770+G774+G777+G780+G784+G800+G804</f>
        <v>0</v>
      </c>
      <c r="H761" s="7">
        <f>+H763+H766+H768+H770+H774+H777+H780+H784+H800+H804</f>
        <v>0</v>
      </c>
      <c r="I761" s="5">
        <f t="shared" si="332"/>
        <v>5177041.4019999998</v>
      </c>
      <c r="J761" s="6">
        <f>+J763+J766+J768+J770+J774+J777+J780+J784+J800+J804</f>
        <v>5156191.4019999998</v>
      </c>
      <c r="K761" s="6">
        <f>+K763+K766+K768+K770+K774+K777+K780+K784+K800+K804</f>
        <v>0</v>
      </c>
      <c r="L761" s="6">
        <f>+L763+L766+L768+L770+L774+L777+L780+L784+L800+L804</f>
        <v>20850</v>
      </c>
      <c r="M761" s="7">
        <f>+M763+M766+M768+M770+M774+M777+M780+M784+M800+M804</f>
        <v>0</v>
      </c>
      <c r="N761" s="5">
        <f t="shared" si="333"/>
        <v>4579265.6700000009</v>
      </c>
      <c r="O761" s="6">
        <f>+O763+O766+O768+O770+O774+O777+O780+O784+O800+O804</f>
        <v>4568015.6700000009</v>
      </c>
      <c r="P761" s="6">
        <f>+P763+P766+P768+P770+P774+P777+P780+P784+P800+P804</f>
        <v>0</v>
      </c>
      <c r="Q761" s="6">
        <f>+Q763+Q766+Q768+Q770+Q774+Q777+Q780+Q784+Q800+Q804</f>
        <v>11250</v>
      </c>
      <c r="R761" s="7">
        <f>+R763+R766+R768+R770+R774+R777+R780+R784+R800+R804</f>
        <v>0</v>
      </c>
      <c r="S761" s="26">
        <f t="shared" si="324"/>
        <v>0.88453332983408905</v>
      </c>
      <c r="T761" s="27">
        <f t="shared" si="325"/>
        <v>0.88592825864224989</v>
      </c>
      <c r="U761" s="27" t="str">
        <f t="shared" si="326"/>
        <v xml:space="preserve"> </v>
      </c>
      <c r="V761" s="27">
        <f t="shared" si="327"/>
        <v>0.53956834532374098</v>
      </c>
      <c r="W761" s="27" t="str">
        <f t="shared" si="327"/>
        <v xml:space="preserve"> </v>
      </c>
    </row>
    <row r="762" spans="1:23" ht="16.5" x14ac:dyDescent="0.2">
      <c r="A762" s="74"/>
      <c r="B762" s="75"/>
      <c r="C762" s="4" t="s">
        <v>10</v>
      </c>
      <c r="D762" s="5"/>
      <c r="E762" s="6"/>
      <c r="F762" s="6"/>
      <c r="G762" s="6"/>
      <c r="H762" s="7"/>
      <c r="I762" s="5"/>
      <c r="J762" s="6"/>
      <c r="K762" s="6"/>
      <c r="L762" s="6"/>
      <c r="M762" s="7"/>
      <c r="N762" s="5"/>
      <c r="O762" s="6"/>
      <c r="P762" s="6"/>
      <c r="Q762" s="6"/>
      <c r="R762" s="7"/>
      <c r="S762" s="29" t="str">
        <f t="shared" si="324"/>
        <v xml:space="preserve"> </v>
      </c>
      <c r="T762" s="30" t="str">
        <f t="shared" si="325"/>
        <v xml:space="preserve"> </v>
      </c>
      <c r="U762" s="30" t="str">
        <f t="shared" si="326"/>
        <v xml:space="preserve"> </v>
      </c>
      <c r="V762" s="30" t="str">
        <f t="shared" si="327"/>
        <v xml:space="preserve"> </v>
      </c>
      <c r="W762" s="30" t="str">
        <f t="shared" si="327"/>
        <v xml:space="preserve"> </v>
      </c>
    </row>
    <row r="763" spans="1:23" s="38" customFormat="1" ht="26.25" customHeight="1" x14ac:dyDescent="0.2">
      <c r="A763" s="78"/>
      <c r="B763" s="79"/>
      <c r="C763" s="54" t="s">
        <v>223</v>
      </c>
      <c r="D763" s="55">
        <f t="shared" si="331"/>
        <v>0</v>
      </c>
      <c r="E763" s="56">
        <f>+E764+E765</f>
        <v>0</v>
      </c>
      <c r="F763" s="56">
        <f>+F764+F765</f>
        <v>0</v>
      </c>
      <c r="G763" s="56">
        <f>+G764+G765</f>
        <v>0</v>
      </c>
      <c r="H763" s="57">
        <f>+H764+H765</f>
        <v>0</v>
      </c>
      <c r="I763" s="55">
        <f t="shared" si="332"/>
        <v>449569.49999999994</v>
      </c>
      <c r="J763" s="56">
        <f>+J764+J765</f>
        <v>449569.49999999994</v>
      </c>
      <c r="K763" s="56">
        <f>+K764+K765</f>
        <v>0</v>
      </c>
      <c r="L763" s="56">
        <f>+L764+L765</f>
        <v>0</v>
      </c>
      <c r="M763" s="57">
        <f>+M764+M765</f>
        <v>0</v>
      </c>
      <c r="N763" s="55">
        <f t="shared" si="333"/>
        <v>293424.26</v>
      </c>
      <c r="O763" s="56">
        <f>+O764+O765</f>
        <v>293424.26</v>
      </c>
      <c r="P763" s="56">
        <f>+P764+P765</f>
        <v>0</v>
      </c>
      <c r="Q763" s="56">
        <f>+Q764+Q765</f>
        <v>0</v>
      </c>
      <c r="R763" s="57">
        <f>+R764+R765</f>
        <v>0</v>
      </c>
      <c r="S763" s="26">
        <f t="shared" si="324"/>
        <v>0.6526783066911791</v>
      </c>
      <c r="T763" s="27">
        <f t="shared" si="325"/>
        <v>0.6526783066911791</v>
      </c>
      <c r="U763" s="27" t="str">
        <f t="shared" si="326"/>
        <v xml:space="preserve"> </v>
      </c>
      <c r="V763" s="27" t="str">
        <f t="shared" si="327"/>
        <v xml:space="preserve"> </v>
      </c>
      <c r="W763" s="27" t="str">
        <f t="shared" si="327"/>
        <v xml:space="preserve"> </v>
      </c>
    </row>
    <row r="764" spans="1:23" ht="27.75" customHeight="1" x14ac:dyDescent="0.2">
      <c r="A764" s="74"/>
      <c r="B764" s="75"/>
      <c r="C764" s="4" t="s">
        <v>750</v>
      </c>
      <c r="D764" s="35">
        <f t="shared" si="331"/>
        <v>0</v>
      </c>
      <c r="E764" s="36">
        <v>0</v>
      </c>
      <c r="F764" s="62"/>
      <c r="G764" s="36"/>
      <c r="H764" s="37"/>
      <c r="I764" s="35">
        <f t="shared" si="332"/>
        <v>135187.39999999997</v>
      </c>
      <c r="J764" s="36">
        <v>135187.39999999997</v>
      </c>
      <c r="K764" s="62"/>
      <c r="L764" s="36"/>
      <c r="M764" s="37"/>
      <c r="N764" s="35">
        <f t="shared" si="333"/>
        <v>87313.96</v>
      </c>
      <c r="O764" s="36">
        <v>87313.96</v>
      </c>
      <c r="P764" s="62"/>
      <c r="Q764" s="36"/>
      <c r="R764" s="37"/>
      <c r="S764" s="29">
        <f t="shared" si="324"/>
        <v>0.64587350596283399</v>
      </c>
      <c r="T764" s="30">
        <f t="shared" si="325"/>
        <v>0.64587350596283399</v>
      </c>
      <c r="U764" s="30" t="str">
        <f t="shared" si="326"/>
        <v xml:space="preserve"> </v>
      </c>
      <c r="V764" s="30" t="str">
        <f t="shared" si="327"/>
        <v xml:space="preserve"> </v>
      </c>
      <c r="W764" s="30" t="str">
        <f t="shared" si="327"/>
        <v xml:space="preserve"> </v>
      </c>
    </row>
    <row r="765" spans="1:23" ht="40.5" customHeight="1" x14ac:dyDescent="0.2">
      <c r="A765" s="74"/>
      <c r="B765" s="75"/>
      <c r="C765" s="4" t="s">
        <v>751</v>
      </c>
      <c r="D765" s="35">
        <f t="shared" ref="D765:D806" si="334">SUM(E765:H765)</f>
        <v>0</v>
      </c>
      <c r="E765" s="36">
        <v>0</v>
      </c>
      <c r="F765" s="62"/>
      <c r="G765" s="36"/>
      <c r="H765" s="37"/>
      <c r="I765" s="35">
        <f t="shared" si="332"/>
        <v>314382.09999999998</v>
      </c>
      <c r="J765" s="36">
        <v>314382.09999999998</v>
      </c>
      <c r="K765" s="62"/>
      <c r="L765" s="36"/>
      <c r="M765" s="37"/>
      <c r="N765" s="35">
        <f t="shared" si="333"/>
        <v>206110.3</v>
      </c>
      <c r="O765" s="36">
        <v>206110.3</v>
      </c>
      <c r="P765" s="62"/>
      <c r="Q765" s="36"/>
      <c r="R765" s="37"/>
      <c r="S765" s="29">
        <f t="shared" si="324"/>
        <v>0.6556044380389342</v>
      </c>
      <c r="T765" s="30">
        <f t="shared" si="325"/>
        <v>0.6556044380389342</v>
      </c>
      <c r="U765" s="30" t="str">
        <f t="shared" si="326"/>
        <v xml:space="preserve"> </v>
      </c>
      <c r="V765" s="30" t="str">
        <f t="shared" si="327"/>
        <v xml:space="preserve"> </v>
      </c>
      <c r="W765" s="30" t="str">
        <f t="shared" si="327"/>
        <v xml:space="preserve"> </v>
      </c>
    </row>
    <row r="766" spans="1:23" s="38" customFormat="1" ht="35.25" customHeight="1" x14ac:dyDescent="0.2">
      <c r="A766" s="78"/>
      <c r="B766" s="79"/>
      <c r="C766" s="54" t="s">
        <v>227</v>
      </c>
      <c r="D766" s="55">
        <f>SUM(E766:H766)</f>
        <v>0</v>
      </c>
      <c r="E766" s="56">
        <f>+E767</f>
        <v>0</v>
      </c>
      <c r="F766" s="56">
        <f>+F767</f>
        <v>0</v>
      </c>
      <c r="G766" s="56">
        <f>+G767</f>
        <v>0</v>
      </c>
      <c r="H766" s="57">
        <f>+H767</f>
        <v>0</v>
      </c>
      <c r="I766" s="55">
        <f t="shared" si="332"/>
        <v>520724.1</v>
      </c>
      <c r="J766" s="56">
        <f>+J767</f>
        <v>520724.1</v>
      </c>
      <c r="K766" s="56">
        <f>+K767</f>
        <v>0</v>
      </c>
      <c r="L766" s="56">
        <f>+L767</f>
        <v>0</v>
      </c>
      <c r="M766" s="57">
        <f>+M767</f>
        <v>0</v>
      </c>
      <c r="N766" s="55">
        <f t="shared" si="333"/>
        <v>510390.37</v>
      </c>
      <c r="O766" s="56">
        <f>+O767</f>
        <v>510390.37</v>
      </c>
      <c r="P766" s="56">
        <f>+P767</f>
        <v>0</v>
      </c>
      <c r="Q766" s="56">
        <f>+Q767</f>
        <v>0</v>
      </c>
      <c r="R766" s="57">
        <f>+R767</f>
        <v>0</v>
      </c>
      <c r="S766" s="26">
        <f t="shared" si="324"/>
        <v>0.98015507636385568</v>
      </c>
      <c r="T766" s="27">
        <f t="shared" si="325"/>
        <v>0.98015507636385568</v>
      </c>
      <c r="U766" s="27" t="str">
        <f t="shared" si="326"/>
        <v xml:space="preserve"> </v>
      </c>
      <c r="V766" s="27" t="str">
        <f t="shared" si="327"/>
        <v xml:space="preserve"> </v>
      </c>
      <c r="W766" s="27" t="str">
        <f t="shared" si="327"/>
        <v xml:space="preserve"> </v>
      </c>
    </row>
    <row r="767" spans="1:23" ht="30" customHeight="1" x14ac:dyDescent="0.2">
      <c r="A767" s="74"/>
      <c r="B767" s="75"/>
      <c r="C767" s="4" t="s">
        <v>752</v>
      </c>
      <c r="D767" s="35">
        <f t="shared" si="334"/>
        <v>0</v>
      </c>
      <c r="E767" s="36">
        <v>0</v>
      </c>
      <c r="F767" s="62"/>
      <c r="G767" s="36"/>
      <c r="H767" s="37"/>
      <c r="I767" s="35">
        <f t="shared" si="332"/>
        <v>520724.1</v>
      </c>
      <c r="J767" s="36">
        <v>520724.1</v>
      </c>
      <c r="K767" s="62"/>
      <c r="L767" s="36"/>
      <c r="M767" s="37"/>
      <c r="N767" s="35">
        <f t="shared" si="333"/>
        <v>510390.37</v>
      </c>
      <c r="O767" s="36">
        <v>510390.37</v>
      </c>
      <c r="P767" s="62"/>
      <c r="Q767" s="36"/>
      <c r="R767" s="37"/>
      <c r="S767" s="29">
        <f t="shared" si="324"/>
        <v>0.98015507636385568</v>
      </c>
      <c r="T767" s="30">
        <f t="shared" si="325"/>
        <v>0.98015507636385568</v>
      </c>
      <c r="U767" s="30" t="str">
        <f t="shared" si="326"/>
        <v xml:space="preserve"> </v>
      </c>
      <c r="V767" s="30" t="str">
        <f t="shared" si="327"/>
        <v xml:space="preserve"> </v>
      </c>
      <c r="W767" s="30" t="str">
        <f t="shared" si="327"/>
        <v xml:space="preserve"> </v>
      </c>
    </row>
    <row r="768" spans="1:23" s="38" customFormat="1" ht="40.5" customHeight="1" x14ac:dyDescent="0.2">
      <c r="A768" s="78"/>
      <c r="B768" s="79"/>
      <c r="C768" s="54" t="s">
        <v>753</v>
      </c>
      <c r="D768" s="55">
        <f>SUM(E768:H768)</f>
        <v>0</v>
      </c>
      <c r="E768" s="56">
        <f>+E769</f>
        <v>0</v>
      </c>
      <c r="F768" s="56">
        <f>+F769</f>
        <v>0</v>
      </c>
      <c r="G768" s="56">
        <f>+G769</f>
        <v>0</v>
      </c>
      <c r="H768" s="57">
        <f>+H769</f>
        <v>0</v>
      </c>
      <c r="I768" s="55">
        <f t="shared" si="332"/>
        <v>358078.69999999995</v>
      </c>
      <c r="J768" s="56">
        <f>+J769</f>
        <v>358078.69999999995</v>
      </c>
      <c r="K768" s="56">
        <f>+K769</f>
        <v>0</v>
      </c>
      <c r="L768" s="56">
        <f>+L769</f>
        <v>0</v>
      </c>
      <c r="M768" s="57">
        <f>+M769</f>
        <v>0</v>
      </c>
      <c r="N768" s="55">
        <f t="shared" si="333"/>
        <v>355090.43</v>
      </c>
      <c r="O768" s="56">
        <f>+O769</f>
        <v>355090.43</v>
      </c>
      <c r="P768" s="56">
        <f>+P769</f>
        <v>0</v>
      </c>
      <c r="Q768" s="56">
        <f>+Q769</f>
        <v>0</v>
      </c>
      <c r="R768" s="57">
        <f>+R769</f>
        <v>0</v>
      </c>
      <c r="S768" s="26">
        <f t="shared" si="324"/>
        <v>0.99165471165975538</v>
      </c>
      <c r="T768" s="27">
        <f t="shared" si="325"/>
        <v>0.99165471165975538</v>
      </c>
      <c r="U768" s="27" t="str">
        <f t="shared" si="326"/>
        <v xml:space="preserve"> </v>
      </c>
      <c r="V768" s="27" t="str">
        <f t="shared" si="327"/>
        <v xml:space="preserve"> </v>
      </c>
      <c r="W768" s="27" t="str">
        <f t="shared" si="327"/>
        <v xml:space="preserve"> </v>
      </c>
    </row>
    <row r="769" spans="1:23" ht="27.75" customHeight="1" x14ac:dyDescent="0.2">
      <c r="A769" s="74"/>
      <c r="B769" s="75"/>
      <c r="C769" s="4" t="s">
        <v>754</v>
      </c>
      <c r="D769" s="35">
        <f t="shared" si="334"/>
        <v>0</v>
      </c>
      <c r="E769" s="36">
        <v>0</v>
      </c>
      <c r="F769" s="62"/>
      <c r="G769" s="36"/>
      <c r="H769" s="37"/>
      <c r="I769" s="35">
        <f t="shared" si="332"/>
        <v>358078.69999999995</v>
      </c>
      <c r="J769" s="36">
        <v>358078.69999999995</v>
      </c>
      <c r="K769" s="62"/>
      <c r="L769" s="36"/>
      <c r="M769" s="37"/>
      <c r="N769" s="35">
        <f t="shared" si="333"/>
        <v>355090.43</v>
      </c>
      <c r="O769" s="36">
        <v>355090.43</v>
      </c>
      <c r="P769" s="62"/>
      <c r="Q769" s="36"/>
      <c r="R769" s="37"/>
      <c r="S769" s="29">
        <f t="shared" si="324"/>
        <v>0.99165471165975538</v>
      </c>
      <c r="T769" s="30">
        <f t="shared" si="325"/>
        <v>0.99165471165975538</v>
      </c>
      <c r="U769" s="30" t="str">
        <f t="shared" si="326"/>
        <v xml:space="preserve"> </v>
      </c>
      <c r="V769" s="30" t="str">
        <f t="shared" si="327"/>
        <v xml:space="preserve"> </v>
      </c>
      <c r="W769" s="30" t="str">
        <f t="shared" si="327"/>
        <v xml:space="preserve"> </v>
      </c>
    </row>
    <row r="770" spans="1:23" s="38" customFormat="1" ht="26.25" customHeight="1" x14ac:dyDescent="0.2">
      <c r="A770" s="78"/>
      <c r="B770" s="79"/>
      <c r="C770" s="54" t="s">
        <v>594</v>
      </c>
      <c r="D770" s="55">
        <f>SUM(E770:H770)</f>
        <v>0</v>
      </c>
      <c r="E770" s="56">
        <f>+E771+E772+E773</f>
        <v>0</v>
      </c>
      <c r="F770" s="56">
        <f>+F771+F772+F773</f>
        <v>0</v>
      </c>
      <c r="G770" s="56">
        <f>+G771+G772+G773</f>
        <v>0</v>
      </c>
      <c r="H770" s="57">
        <f>+H771+H772+H773</f>
        <v>0</v>
      </c>
      <c r="I770" s="55">
        <f t="shared" si="332"/>
        <v>358289.4</v>
      </c>
      <c r="J770" s="56">
        <f>+J771+J772+J773</f>
        <v>358289.4</v>
      </c>
      <c r="K770" s="56">
        <f>+K771+K772+K773</f>
        <v>0</v>
      </c>
      <c r="L770" s="56">
        <f>+L771+L772+L773</f>
        <v>0</v>
      </c>
      <c r="M770" s="57">
        <f>+M771+M772+M773</f>
        <v>0</v>
      </c>
      <c r="N770" s="55">
        <f t="shared" si="333"/>
        <v>298949.92</v>
      </c>
      <c r="O770" s="56">
        <f>+O771+O772+O773</f>
        <v>298949.92</v>
      </c>
      <c r="P770" s="56">
        <f>+P771+P772+P773</f>
        <v>0</v>
      </c>
      <c r="Q770" s="56">
        <f>+Q771+Q772+Q773</f>
        <v>0</v>
      </c>
      <c r="R770" s="57">
        <f>+R771+R772+R773</f>
        <v>0</v>
      </c>
      <c r="S770" s="26">
        <f t="shared" si="324"/>
        <v>0.83438114552091125</v>
      </c>
      <c r="T770" s="27">
        <f t="shared" si="325"/>
        <v>0.83438114552091125</v>
      </c>
      <c r="U770" s="27" t="str">
        <f t="shared" si="326"/>
        <v xml:space="preserve"> </v>
      </c>
      <c r="V770" s="27" t="str">
        <f t="shared" si="327"/>
        <v xml:space="preserve"> </v>
      </c>
      <c r="W770" s="27" t="str">
        <f t="shared" si="327"/>
        <v xml:space="preserve"> </v>
      </c>
    </row>
    <row r="771" spans="1:23" ht="51.75" customHeight="1" x14ac:dyDescent="0.2">
      <c r="A771" s="74"/>
      <c r="B771" s="75"/>
      <c r="C771" s="4" t="s">
        <v>755</v>
      </c>
      <c r="D771" s="35">
        <f t="shared" si="334"/>
        <v>0</v>
      </c>
      <c r="E771" s="36">
        <v>0</v>
      </c>
      <c r="F771" s="62"/>
      <c r="G771" s="36"/>
      <c r="H771" s="37"/>
      <c r="I771" s="35">
        <f t="shared" si="332"/>
        <v>174171.1</v>
      </c>
      <c r="J771" s="36">
        <v>174171.1</v>
      </c>
      <c r="K771" s="62"/>
      <c r="L771" s="36"/>
      <c r="M771" s="37"/>
      <c r="N771" s="35">
        <f t="shared" si="333"/>
        <v>142012.69</v>
      </c>
      <c r="O771" s="36">
        <v>142012.69</v>
      </c>
      <c r="P771" s="62"/>
      <c r="Q771" s="36"/>
      <c r="R771" s="37"/>
      <c r="S771" s="29">
        <f t="shared" si="324"/>
        <v>0.81536311133132877</v>
      </c>
      <c r="T771" s="30">
        <f t="shared" si="325"/>
        <v>0.81536311133132877</v>
      </c>
      <c r="U771" s="30" t="str">
        <f t="shared" si="326"/>
        <v xml:space="preserve"> </v>
      </c>
      <c r="V771" s="30" t="str">
        <f t="shared" si="327"/>
        <v xml:space="preserve"> </v>
      </c>
      <c r="W771" s="30" t="str">
        <f t="shared" si="327"/>
        <v xml:space="preserve"> </v>
      </c>
    </row>
    <row r="772" spans="1:23" ht="40.5" customHeight="1" x14ac:dyDescent="0.2">
      <c r="A772" s="74"/>
      <c r="B772" s="75"/>
      <c r="C772" s="4" t="s">
        <v>756</v>
      </c>
      <c r="D772" s="35">
        <f t="shared" si="334"/>
        <v>0</v>
      </c>
      <c r="E772" s="36">
        <v>0</v>
      </c>
      <c r="F772" s="62"/>
      <c r="G772" s="36"/>
      <c r="H772" s="37"/>
      <c r="I772" s="35">
        <f t="shared" si="332"/>
        <v>37946.199999999983</v>
      </c>
      <c r="J772" s="36">
        <v>37946.199999999983</v>
      </c>
      <c r="K772" s="62"/>
      <c r="L772" s="36"/>
      <c r="M772" s="37"/>
      <c r="N772" s="35">
        <f t="shared" si="333"/>
        <v>12634.24</v>
      </c>
      <c r="O772" s="36">
        <v>12634.24</v>
      </c>
      <c r="P772" s="62"/>
      <c r="Q772" s="36"/>
      <c r="R772" s="37"/>
      <c r="S772" s="29">
        <f t="shared" si="324"/>
        <v>0.3329513890718967</v>
      </c>
      <c r="T772" s="30">
        <f t="shared" si="325"/>
        <v>0.3329513890718967</v>
      </c>
      <c r="U772" s="30" t="str">
        <f t="shared" si="326"/>
        <v xml:space="preserve"> </v>
      </c>
      <c r="V772" s="30" t="str">
        <f t="shared" si="327"/>
        <v xml:space="preserve"> </v>
      </c>
      <c r="W772" s="30" t="str">
        <f t="shared" si="327"/>
        <v xml:space="preserve"> </v>
      </c>
    </row>
    <row r="773" spans="1:23" ht="26.25" customHeight="1" x14ac:dyDescent="0.2">
      <c r="A773" s="74"/>
      <c r="B773" s="75"/>
      <c r="C773" s="4" t="s">
        <v>757</v>
      </c>
      <c r="D773" s="35">
        <f t="shared" si="334"/>
        <v>0</v>
      </c>
      <c r="E773" s="36">
        <v>0</v>
      </c>
      <c r="F773" s="62"/>
      <c r="G773" s="36"/>
      <c r="H773" s="37"/>
      <c r="I773" s="35">
        <f t="shared" si="332"/>
        <v>146172.10000000006</v>
      </c>
      <c r="J773" s="36">
        <v>146172.10000000006</v>
      </c>
      <c r="K773" s="62"/>
      <c r="L773" s="36"/>
      <c r="M773" s="37"/>
      <c r="N773" s="35">
        <f t="shared" si="333"/>
        <v>144302.99</v>
      </c>
      <c r="O773" s="36">
        <v>144302.99</v>
      </c>
      <c r="P773" s="62"/>
      <c r="Q773" s="36"/>
      <c r="R773" s="37"/>
      <c r="S773" s="29">
        <f t="shared" si="324"/>
        <v>0.98721294966686479</v>
      </c>
      <c r="T773" s="30">
        <f t="shared" si="325"/>
        <v>0.98721294966686479</v>
      </c>
      <c r="U773" s="30" t="str">
        <f t="shared" si="326"/>
        <v xml:space="preserve"> </v>
      </c>
      <c r="V773" s="30" t="str">
        <f t="shared" si="327"/>
        <v xml:space="preserve"> </v>
      </c>
      <c r="W773" s="30" t="str">
        <f t="shared" si="327"/>
        <v xml:space="preserve"> </v>
      </c>
    </row>
    <row r="774" spans="1:23" s="38" customFormat="1" ht="27.75" customHeight="1" x14ac:dyDescent="0.2">
      <c r="A774" s="78"/>
      <c r="B774" s="79"/>
      <c r="C774" s="54" t="s">
        <v>131</v>
      </c>
      <c r="D774" s="55">
        <f>SUM(E774:H774)</f>
        <v>0</v>
      </c>
      <c r="E774" s="56">
        <f>+E775+E776</f>
        <v>0</v>
      </c>
      <c r="F774" s="56">
        <f>+F775+F776</f>
        <v>0</v>
      </c>
      <c r="G774" s="56">
        <f>+G775+G776</f>
        <v>0</v>
      </c>
      <c r="H774" s="57">
        <f>+H775+H776</f>
        <v>0</v>
      </c>
      <c r="I774" s="55">
        <f t="shared" si="332"/>
        <v>657046</v>
      </c>
      <c r="J774" s="56">
        <f>+J775+J776</f>
        <v>657046</v>
      </c>
      <c r="K774" s="56">
        <f>+K775+K776</f>
        <v>0</v>
      </c>
      <c r="L774" s="56">
        <f>+L775+L776</f>
        <v>0</v>
      </c>
      <c r="M774" s="57">
        <f>+M775+M776</f>
        <v>0</v>
      </c>
      <c r="N774" s="55">
        <f t="shared" si="333"/>
        <v>639578.06000000006</v>
      </c>
      <c r="O774" s="56">
        <f>+O775+O776</f>
        <v>639578.06000000006</v>
      </c>
      <c r="P774" s="56">
        <f>+P775+P776</f>
        <v>0</v>
      </c>
      <c r="Q774" s="56">
        <f>+Q775+Q776</f>
        <v>0</v>
      </c>
      <c r="R774" s="57">
        <f>+R775+R776</f>
        <v>0</v>
      </c>
      <c r="S774" s="26">
        <f t="shared" si="324"/>
        <v>0.97341443369261826</v>
      </c>
      <c r="T774" s="27">
        <f t="shared" si="325"/>
        <v>0.97341443369261826</v>
      </c>
      <c r="U774" s="27" t="str">
        <f t="shared" si="326"/>
        <v xml:space="preserve"> </v>
      </c>
      <c r="V774" s="27" t="str">
        <f t="shared" si="327"/>
        <v xml:space="preserve"> </v>
      </c>
      <c r="W774" s="27" t="str">
        <f t="shared" si="327"/>
        <v xml:space="preserve"> </v>
      </c>
    </row>
    <row r="775" spans="1:23" ht="33" x14ac:dyDescent="0.2">
      <c r="A775" s="74"/>
      <c r="B775" s="75"/>
      <c r="C775" s="2" t="s">
        <v>758</v>
      </c>
      <c r="D775" s="35">
        <f t="shared" si="334"/>
        <v>0</v>
      </c>
      <c r="E775" s="36">
        <v>0</v>
      </c>
      <c r="F775" s="62"/>
      <c r="G775" s="36"/>
      <c r="H775" s="37"/>
      <c r="I775" s="35">
        <f t="shared" si="332"/>
        <v>329986.40000000002</v>
      </c>
      <c r="J775" s="36">
        <v>329986.40000000002</v>
      </c>
      <c r="K775" s="62"/>
      <c r="L775" s="36"/>
      <c r="M775" s="37"/>
      <c r="N775" s="35">
        <f t="shared" si="333"/>
        <v>324372.40999999997</v>
      </c>
      <c r="O775" s="36">
        <v>324372.40999999997</v>
      </c>
      <c r="P775" s="62"/>
      <c r="Q775" s="36"/>
      <c r="R775" s="37"/>
      <c r="S775" s="29">
        <f t="shared" si="324"/>
        <v>0.98298720795766115</v>
      </c>
      <c r="T775" s="30">
        <f t="shared" si="325"/>
        <v>0.98298720795766115</v>
      </c>
      <c r="U775" s="30" t="str">
        <f t="shared" si="326"/>
        <v xml:space="preserve"> </v>
      </c>
      <c r="V775" s="30" t="str">
        <f t="shared" si="327"/>
        <v xml:space="preserve"> </v>
      </c>
      <c r="W775" s="30" t="str">
        <f t="shared" si="327"/>
        <v xml:space="preserve"> </v>
      </c>
    </row>
    <row r="776" spans="1:23" ht="30.75" customHeight="1" x14ac:dyDescent="0.2">
      <c r="A776" s="74"/>
      <c r="B776" s="75"/>
      <c r="C776" s="2" t="s">
        <v>759</v>
      </c>
      <c r="D776" s="35">
        <f t="shared" si="334"/>
        <v>0</v>
      </c>
      <c r="E776" s="36">
        <v>0</v>
      </c>
      <c r="F776" s="62"/>
      <c r="G776" s="36"/>
      <c r="H776" s="37"/>
      <c r="I776" s="35">
        <f t="shared" si="332"/>
        <v>327059.59999999998</v>
      </c>
      <c r="J776" s="36">
        <v>327059.59999999998</v>
      </c>
      <c r="K776" s="62"/>
      <c r="L776" s="36"/>
      <c r="M776" s="37"/>
      <c r="N776" s="35">
        <f t="shared" si="333"/>
        <v>315205.65000000002</v>
      </c>
      <c r="O776" s="36">
        <v>315205.65000000002</v>
      </c>
      <c r="P776" s="62"/>
      <c r="Q776" s="36"/>
      <c r="R776" s="37"/>
      <c r="S776" s="29">
        <f t="shared" si="324"/>
        <v>0.96375599432030135</v>
      </c>
      <c r="T776" s="30">
        <f t="shared" si="325"/>
        <v>0.96375599432030135</v>
      </c>
      <c r="U776" s="30" t="str">
        <f t="shared" si="326"/>
        <v xml:space="preserve"> </v>
      </c>
      <c r="V776" s="30" t="str">
        <f t="shared" si="327"/>
        <v xml:space="preserve"> </v>
      </c>
      <c r="W776" s="30" t="str">
        <f t="shared" si="327"/>
        <v xml:space="preserve"> </v>
      </c>
    </row>
    <row r="777" spans="1:23" s="38" customFormat="1" ht="30" customHeight="1" x14ac:dyDescent="0.2">
      <c r="A777" s="78"/>
      <c r="B777" s="79"/>
      <c r="C777" s="54" t="s">
        <v>230</v>
      </c>
      <c r="D777" s="55">
        <f>SUM(E777:H777)</f>
        <v>0</v>
      </c>
      <c r="E777" s="56">
        <f>+E778+E779</f>
        <v>0</v>
      </c>
      <c r="F777" s="56">
        <f>+F778+F779</f>
        <v>0</v>
      </c>
      <c r="G777" s="56">
        <f>+G778+G779</f>
        <v>0</v>
      </c>
      <c r="H777" s="57">
        <f>+H778+H779</f>
        <v>0</v>
      </c>
      <c r="I777" s="55">
        <f t="shared" si="332"/>
        <v>656103.5</v>
      </c>
      <c r="J777" s="56">
        <f>+J778+J779</f>
        <v>656103.5</v>
      </c>
      <c r="K777" s="56">
        <f>+K778+K779</f>
        <v>0</v>
      </c>
      <c r="L777" s="56">
        <f>+L778+L779</f>
        <v>0</v>
      </c>
      <c r="M777" s="57">
        <f>+M778+M779</f>
        <v>0</v>
      </c>
      <c r="N777" s="55">
        <f t="shared" si="333"/>
        <v>656103.3600000001</v>
      </c>
      <c r="O777" s="56">
        <f>+O778+O779</f>
        <v>656103.3600000001</v>
      </c>
      <c r="P777" s="56">
        <f>+P778+P779</f>
        <v>0</v>
      </c>
      <c r="Q777" s="56">
        <f>+Q778+Q779</f>
        <v>0</v>
      </c>
      <c r="R777" s="57">
        <f>+R778+R779</f>
        <v>0</v>
      </c>
      <c r="S777" s="26">
        <f t="shared" si="324"/>
        <v>0.9999997866190321</v>
      </c>
      <c r="T777" s="27">
        <f t="shared" si="325"/>
        <v>0.9999997866190321</v>
      </c>
      <c r="U777" s="27" t="str">
        <f t="shared" si="326"/>
        <v xml:space="preserve"> </v>
      </c>
      <c r="V777" s="27" t="str">
        <f t="shared" si="327"/>
        <v xml:space="preserve"> </v>
      </c>
      <c r="W777" s="27" t="str">
        <f t="shared" si="327"/>
        <v xml:space="preserve"> </v>
      </c>
    </row>
    <row r="778" spans="1:23" ht="35.1" customHeight="1" x14ac:dyDescent="0.2">
      <c r="A778" s="74"/>
      <c r="B778" s="75"/>
      <c r="C778" s="4" t="s">
        <v>724</v>
      </c>
      <c r="D778" s="35">
        <f t="shared" si="334"/>
        <v>0</v>
      </c>
      <c r="E778" s="36">
        <v>0</v>
      </c>
      <c r="F778" s="62"/>
      <c r="G778" s="36"/>
      <c r="H778" s="37"/>
      <c r="I778" s="35">
        <f t="shared" si="332"/>
        <v>349337.59999999998</v>
      </c>
      <c r="J778" s="36">
        <v>349337.59999999998</v>
      </c>
      <c r="K778" s="62"/>
      <c r="L778" s="36"/>
      <c r="M778" s="37"/>
      <c r="N778" s="35">
        <f t="shared" si="333"/>
        <v>349337.46</v>
      </c>
      <c r="O778" s="36">
        <v>349337.46</v>
      </c>
      <c r="P778" s="62"/>
      <c r="Q778" s="36"/>
      <c r="R778" s="37"/>
      <c r="S778" s="29">
        <f t="shared" si="324"/>
        <v>0.99999959924153614</v>
      </c>
      <c r="T778" s="30">
        <f t="shared" si="325"/>
        <v>0.99999959924153614</v>
      </c>
      <c r="U778" s="30" t="str">
        <f t="shared" si="326"/>
        <v xml:space="preserve"> </v>
      </c>
      <c r="V778" s="30" t="str">
        <f t="shared" si="327"/>
        <v xml:space="preserve"> </v>
      </c>
      <c r="W778" s="30" t="str">
        <f t="shared" si="327"/>
        <v xml:space="preserve"> </v>
      </c>
    </row>
    <row r="779" spans="1:23" ht="35.1" customHeight="1" x14ac:dyDescent="0.2">
      <c r="A779" s="74"/>
      <c r="B779" s="75"/>
      <c r="C779" s="4" t="s">
        <v>760</v>
      </c>
      <c r="D779" s="35">
        <f t="shared" si="334"/>
        <v>0</v>
      </c>
      <c r="E779" s="36">
        <v>0</v>
      </c>
      <c r="F779" s="62"/>
      <c r="G779" s="36"/>
      <c r="H779" s="37"/>
      <c r="I779" s="35">
        <f t="shared" si="332"/>
        <v>306765.90000000002</v>
      </c>
      <c r="J779" s="36">
        <v>306765.90000000002</v>
      </c>
      <c r="K779" s="62"/>
      <c r="L779" s="36"/>
      <c r="M779" s="37"/>
      <c r="N779" s="35">
        <f t="shared" si="333"/>
        <v>306765.90000000002</v>
      </c>
      <c r="O779" s="36">
        <v>306765.90000000002</v>
      </c>
      <c r="P779" s="62"/>
      <c r="Q779" s="36"/>
      <c r="R779" s="37"/>
      <c r="S779" s="29">
        <f t="shared" si="324"/>
        <v>1</v>
      </c>
      <c r="T779" s="30">
        <f t="shared" si="325"/>
        <v>1</v>
      </c>
      <c r="U779" s="30" t="str">
        <f t="shared" si="326"/>
        <v xml:space="preserve"> </v>
      </c>
      <c r="V779" s="30" t="str">
        <f t="shared" si="327"/>
        <v xml:space="preserve"> </v>
      </c>
      <c r="W779" s="30" t="str">
        <f t="shared" si="327"/>
        <v xml:space="preserve"> </v>
      </c>
    </row>
    <row r="780" spans="1:23" s="38" customFormat="1" ht="26.25" customHeight="1" x14ac:dyDescent="0.2">
      <c r="A780" s="78"/>
      <c r="B780" s="79"/>
      <c r="C780" s="54" t="s">
        <v>232</v>
      </c>
      <c r="D780" s="55">
        <f>SUM(E780:H780)</f>
        <v>0</v>
      </c>
      <c r="E780" s="56">
        <f>+E781+E782+E783</f>
        <v>0</v>
      </c>
      <c r="F780" s="56">
        <f>+F781+F782+F783</f>
        <v>0</v>
      </c>
      <c r="G780" s="56">
        <f>+G781+G782+G783</f>
        <v>0</v>
      </c>
      <c r="H780" s="57">
        <f>+H781+H782+H783</f>
        <v>0</v>
      </c>
      <c r="I780" s="55">
        <f t="shared" si="332"/>
        <v>537325.65999999992</v>
      </c>
      <c r="J780" s="56">
        <f>+J781+J782+J783</f>
        <v>537325.65999999992</v>
      </c>
      <c r="K780" s="56">
        <f>+K781+K782+K783</f>
        <v>0</v>
      </c>
      <c r="L780" s="56">
        <f>+L781+L782+L783</f>
        <v>0</v>
      </c>
      <c r="M780" s="57">
        <f>+M781+M782+M783</f>
        <v>0</v>
      </c>
      <c r="N780" s="55">
        <f t="shared" si="333"/>
        <v>494835.94</v>
      </c>
      <c r="O780" s="56">
        <f>+O781+O782+O783</f>
        <v>494835.94</v>
      </c>
      <c r="P780" s="56">
        <f>+P781+P782+P783</f>
        <v>0</v>
      </c>
      <c r="Q780" s="56">
        <f>+Q781+Q782+Q783</f>
        <v>0</v>
      </c>
      <c r="R780" s="57">
        <f>+R781+R782+R783</f>
        <v>0</v>
      </c>
      <c r="S780" s="26">
        <f t="shared" si="324"/>
        <v>0.92092370946885371</v>
      </c>
      <c r="T780" s="27">
        <f t="shared" si="325"/>
        <v>0.92092370946885371</v>
      </c>
      <c r="U780" s="27" t="str">
        <f t="shared" si="326"/>
        <v xml:space="preserve"> </v>
      </c>
      <c r="V780" s="27" t="str">
        <f t="shared" si="327"/>
        <v xml:space="preserve"> </v>
      </c>
      <c r="W780" s="27" t="str">
        <f t="shared" si="327"/>
        <v xml:space="preserve"> </v>
      </c>
    </row>
    <row r="781" spans="1:23" ht="29.25" customHeight="1" x14ac:dyDescent="0.2">
      <c r="A781" s="74"/>
      <c r="B781" s="75"/>
      <c r="C781" s="4" t="s">
        <v>761</v>
      </c>
      <c r="D781" s="35">
        <f>SUM(E781:H781)</f>
        <v>0</v>
      </c>
      <c r="E781" s="36">
        <v>0</v>
      </c>
      <c r="F781" s="62"/>
      <c r="G781" s="36"/>
      <c r="H781" s="37"/>
      <c r="I781" s="35">
        <f t="shared" si="332"/>
        <v>136873.56</v>
      </c>
      <c r="J781" s="36">
        <v>136873.56</v>
      </c>
      <c r="K781" s="62"/>
      <c r="L781" s="36"/>
      <c r="M781" s="37"/>
      <c r="N781" s="35">
        <f t="shared" si="333"/>
        <v>94539.97</v>
      </c>
      <c r="O781" s="36">
        <v>94539.97</v>
      </c>
      <c r="P781" s="62"/>
      <c r="Q781" s="36"/>
      <c r="R781" s="37"/>
      <c r="S781" s="29">
        <f t="shared" si="324"/>
        <v>0.69071024381918611</v>
      </c>
      <c r="T781" s="30">
        <f t="shared" si="325"/>
        <v>0.69071024381918611</v>
      </c>
      <c r="U781" s="30" t="str">
        <f t="shared" si="326"/>
        <v xml:space="preserve"> </v>
      </c>
      <c r="V781" s="30" t="str">
        <f t="shared" si="327"/>
        <v xml:space="preserve"> </v>
      </c>
      <c r="W781" s="30" t="str">
        <f t="shared" si="327"/>
        <v xml:space="preserve"> </v>
      </c>
    </row>
    <row r="782" spans="1:23" ht="39.75" customHeight="1" x14ac:dyDescent="0.2">
      <c r="A782" s="74"/>
      <c r="B782" s="75"/>
      <c r="C782" s="4" t="s">
        <v>762</v>
      </c>
      <c r="D782" s="35">
        <f>SUM(E782:H782)</f>
        <v>0</v>
      </c>
      <c r="E782" s="36">
        <v>0</v>
      </c>
      <c r="F782" s="62"/>
      <c r="G782" s="36"/>
      <c r="H782" s="37"/>
      <c r="I782" s="35">
        <f t="shared" si="332"/>
        <v>52207.899999999994</v>
      </c>
      <c r="J782" s="36">
        <v>52207.899999999994</v>
      </c>
      <c r="K782" s="62"/>
      <c r="L782" s="36"/>
      <c r="M782" s="37"/>
      <c r="N782" s="35">
        <f t="shared" si="333"/>
        <v>52207.899999999994</v>
      </c>
      <c r="O782" s="36">
        <v>52207.899999999994</v>
      </c>
      <c r="P782" s="62"/>
      <c r="Q782" s="36"/>
      <c r="R782" s="37"/>
      <c r="S782" s="29">
        <f t="shared" si="324"/>
        <v>1</v>
      </c>
      <c r="T782" s="30">
        <f t="shared" si="325"/>
        <v>1</v>
      </c>
      <c r="U782" s="30" t="str">
        <f t="shared" si="326"/>
        <v xml:space="preserve"> </v>
      </c>
      <c r="V782" s="30" t="str">
        <f t="shared" si="327"/>
        <v xml:space="preserve"> </v>
      </c>
      <c r="W782" s="30" t="str">
        <f t="shared" si="327"/>
        <v xml:space="preserve"> </v>
      </c>
    </row>
    <row r="783" spans="1:23" ht="30.75" customHeight="1" x14ac:dyDescent="0.2">
      <c r="A783" s="74"/>
      <c r="B783" s="75"/>
      <c r="C783" s="4" t="s">
        <v>763</v>
      </c>
      <c r="D783" s="35">
        <f>SUM(E783:H783)</f>
        <v>0</v>
      </c>
      <c r="E783" s="36">
        <v>0</v>
      </c>
      <c r="F783" s="62"/>
      <c r="G783" s="36"/>
      <c r="H783" s="37"/>
      <c r="I783" s="35">
        <f t="shared" si="332"/>
        <v>348244.19999999995</v>
      </c>
      <c r="J783" s="36">
        <v>348244.19999999995</v>
      </c>
      <c r="K783" s="62"/>
      <c r="L783" s="36"/>
      <c r="M783" s="37"/>
      <c r="N783" s="35">
        <f t="shared" si="333"/>
        <v>348088.07</v>
      </c>
      <c r="O783" s="36">
        <v>348088.07</v>
      </c>
      <c r="P783" s="62"/>
      <c r="Q783" s="36"/>
      <c r="R783" s="37"/>
      <c r="S783" s="29">
        <f t="shared" si="324"/>
        <v>0.99955166518207639</v>
      </c>
      <c r="T783" s="30">
        <f t="shared" si="325"/>
        <v>0.99955166518207639</v>
      </c>
      <c r="U783" s="30" t="str">
        <f t="shared" si="326"/>
        <v xml:space="preserve"> </v>
      </c>
      <c r="V783" s="30" t="str">
        <f t="shared" si="327"/>
        <v xml:space="preserve"> </v>
      </c>
      <c r="W783" s="30" t="str">
        <f t="shared" si="327"/>
        <v xml:space="preserve"> </v>
      </c>
    </row>
    <row r="784" spans="1:23" s="38" customFormat="1" ht="33.75" customHeight="1" x14ac:dyDescent="0.2">
      <c r="A784" s="78"/>
      <c r="B784" s="79"/>
      <c r="C784" s="54" t="s">
        <v>133</v>
      </c>
      <c r="D784" s="55">
        <f>SUM(E784:H784)</f>
        <v>0</v>
      </c>
      <c r="E784" s="56">
        <f>+E785+E786+E787+E788+E789+E790+E791+E792+E793+E794+E795+E796+E797+E798+E799</f>
        <v>0</v>
      </c>
      <c r="F784" s="56">
        <f>+F785+F786+F787+F788+F789+F790+F791+F792+F793+F794+F795+F796+F797+F798+F799</f>
        <v>0</v>
      </c>
      <c r="G784" s="56">
        <f>+G785+G786+G787+G788+G789+G790+G791+G792+G793+G794+G795+G796+G797+G798+G799</f>
        <v>0</v>
      </c>
      <c r="H784" s="57">
        <f>+H785+H786+H787+H788+H789+H790+H791+H792+H793+H794+H795+H796+H797+H798+H799</f>
        <v>0</v>
      </c>
      <c r="I784" s="55">
        <f t="shared" si="332"/>
        <v>656549.74</v>
      </c>
      <c r="J784" s="56">
        <f>+J785+J786+J787+J788+J789+J790+J791+J792+J793+J794+J795+J796+J797+J798+J799</f>
        <v>635699.74</v>
      </c>
      <c r="K784" s="56">
        <f>+K785+K786+K787+K788+K789+K790+K791+K792+K793+K794+K795+K796+K797+K798+K799</f>
        <v>0</v>
      </c>
      <c r="L784" s="56">
        <f>+L785+L786+L787+L788+L789+L790+L791+L792+L793+L794+L795+L796+L797+L798+L799</f>
        <v>20850</v>
      </c>
      <c r="M784" s="57">
        <f>+M785+M786+M787+M788+M789+M790+M791+M792+M793+M794+M795+M796+M797+M798+M799</f>
        <v>0</v>
      </c>
      <c r="N784" s="55">
        <f t="shared" si="333"/>
        <v>437188.16000000003</v>
      </c>
      <c r="O784" s="56">
        <f>+O785+O786+O787+O788+O789+O790+O791+O792+O793+O794+O795+O796+O797+O798+O799</f>
        <v>425938.16000000003</v>
      </c>
      <c r="P784" s="56">
        <f>+P785+P786+P787+P788+P789+P790+P791+P792+P793+P794+P795+P796+P797+P798+P799</f>
        <v>0</v>
      </c>
      <c r="Q784" s="56">
        <f>+Q785+Q786+Q787+Q788+Q789+Q790+Q791+Q792+Q793+Q794+Q795+Q796+Q797+Q798+Q799</f>
        <v>11250</v>
      </c>
      <c r="R784" s="57">
        <f>+R785+R786+R787+R788+R789+R790+R791+R792+R793+R794+R795+R796+R797+R798+R799</f>
        <v>0</v>
      </c>
      <c r="S784" s="26">
        <f t="shared" si="324"/>
        <v>0.66588734008180406</v>
      </c>
      <c r="T784" s="27">
        <f t="shared" si="325"/>
        <v>0.67003041404421537</v>
      </c>
      <c r="U784" s="27" t="str">
        <f t="shared" si="326"/>
        <v xml:space="preserve"> </v>
      </c>
      <c r="V784" s="27">
        <f t="shared" si="327"/>
        <v>0.53956834532374098</v>
      </c>
      <c r="W784" s="27" t="str">
        <f t="shared" si="327"/>
        <v xml:space="preserve"> </v>
      </c>
    </row>
    <row r="785" spans="1:23" ht="45.75" customHeight="1" x14ac:dyDescent="0.2">
      <c r="A785" s="74"/>
      <c r="B785" s="75"/>
      <c r="C785" s="4" t="s">
        <v>764</v>
      </c>
      <c r="D785" s="35">
        <f t="shared" si="334"/>
        <v>0</v>
      </c>
      <c r="E785" s="36">
        <v>0</v>
      </c>
      <c r="F785" s="62"/>
      <c r="G785" s="36"/>
      <c r="H785" s="37"/>
      <c r="I785" s="35">
        <f t="shared" ref="I785:I807" si="335">SUM(J785:M785)</f>
        <v>115061.64</v>
      </c>
      <c r="J785" s="36">
        <v>115061.64</v>
      </c>
      <c r="K785" s="62"/>
      <c r="L785" s="36"/>
      <c r="M785" s="37"/>
      <c r="N785" s="35">
        <f t="shared" ref="N785:N799" si="336">SUM(O785:R785)</f>
        <v>112650.81</v>
      </c>
      <c r="O785" s="36">
        <v>112650.81</v>
      </c>
      <c r="P785" s="62"/>
      <c r="Q785" s="36"/>
      <c r="R785" s="37"/>
      <c r="S785" s="29">
        <f t="shared" si="324"/>
        <v>0.97904749141416725</v>
      </c>
      <c r="T785" s="30">
        <f t="shared" si="325"/>
        <v>0.97904749141416725</v>
      </c>
      <c r="U785" s="30" t="str">
        <f t="shared" si="326"/>
        <v xml:space="preserve"> </v>
      </c>
      <c r="V785" s="30" t="str">
        <f t="shared" si="327"/>
        <v xml:space="preserve"> </v>
      </c>
      <c r="W785" s="30" t="str">
        <f t="shared" si="327"/>
        <v xml:space="preserve"> </v>
      </c>
    </row>
    <row r="786" spans="1:23" ht="40.5" customHeight="1" x14ac:dyDescent="0.2">
      <c r="A786" s="74"/>
      <c r="B786" s="75"/>
      <c r="C786" s="4" t="s">
        <v>765</v>
      </c>
      <c r="D786" s="35">
        <f t="shared" si="334"/>
        <v>0</v>
      </c>
      <c r="E786" s="36">
        <v>0</v>
      </c>
      <c r="F786" s="62"/>
      <c r="G786" s="36"/>
      <c r="H786" s="37"/>
      <c r="I786" s="35">
        <f t="shared" si="335"/>
        <v>201647.7</v>
      </c>
      <c r="J786" s="36">
        <v>201647.7</v>
      </c>
      <c r="K786" s="62"/>
      <c r="L786" s="36"/>
      <c r="M786" s="37"/>
      <c r="N786" s="35">
        <f t="shared" si="336"/>
        <v>99047.89</v>
      </c>
      <c r="O786" s="36">
        <v>99047.89</v>
      </c>
      <c r="P786" s="62"/>
      <c r="Q786" s="36"/>
      <c r="R786" s="37"/>
      <c r="S786" s="29">
        <f t="shared" si="324"/>
        <v>0.49119275845943194</v>
      </c>
      <c r="T786" s="30">
        <f t="shared" si="325"/>
        <v>0.49119275845943194</v>
      </c>
      <c r="U786" s="30" t="str">
        <f t="shared" si="326"/>
        <v xml:space="preserve"> </v>
      </c>
      <c r="V786" s="30" t="str">
        <f t="shared" si="327"/>
        <v xml:space="preserve"> </v>
      </c>
      <c r="W786" s="30" t="str">
        <f t="shared" si="327"/>
        <v xml:space="preserve"> </v>
      </c>
    </row>
    <row r="787" spans="1:23" ht="28.5" customHeight="1" x14ac:dyDescent="0.2">
      <c r="A787" s="74"/>
      <c r="B787" s="75"/>
      <c r="C787" s="4" t="s">
        <v>766</v>
      </c>
      <c r="D787" s="35">
        <f t="shared" si="334"/>
        <v>0</v>
      </c>
      <c r="E787" s="36">
        <v>0</v>
      </c>
      <c r="F787" s="62"/>
      <c r="G787" s="36"/>
      <c r="H787" s="37"/>
      <c r="I787" s="35">
        <f t="shared" si="335"/>
        <v>318990.40000000002</v>
      </c>
      <c r="J787" s="36">
        <v>318990.40000000002</v>
      </c>
      <c r="K787" s="62"/>
      <c r="L787" s="36"/>
      <c r="M787" s="37"/>
      <c r="N787" s="35">
        <f t="shared" si="336"/>
        <v>214239.46</v>
      </c>
      <c r="O787" s="36">
        <v>214239.46</v>
      </c>
      <c r="P787" s="62"/>
      <c r="Q787" s="36"/>
      <c r="R787" s="37"/>
      <c r="S787" s="29">
        <f t="shared" si="324"/>
        <v>0.6716172649709834</v>
      </c>
      <c r="T787" s="30">
        <f t="shared" si="325"/>
        <v>0.6716172649709834</v>
      </c>
      <c r="U787" s="30" t="str">
        <f t="shared" si="326"/>
        <v xml:space="preserve"> </v>
      </c>
      <c r="V787" s="30" t="str">
        <f t="shared" si="327"/>
        <v xml:space="preserve"> </v>
      </c>
      <c r="W787" s="30" t="str">
        <f t="shared" si="327"/>
        <v xml:space="preserve"> </v>
      </c>
    </row>
    <row r="788" spans="1:23" ht="45" customHeight="1" x14ac:dyDescent="0.2">
      <c r="A788" s="74"/>
      <c r="B788" s="75"/>
      <c r="C788" s="4" t="s">
        <v>767</v>
      </c>
      <c r="D788" s="35">
        <f t="shared" si="334"/>
        <v>0</v>
      </c>
      <c r="E788" s="36"/>
      <c r="F788" s="62"/>
      <c r="G788" s="36">
        <v>0</v>
      </c>
      <c r="H788" s="37"/>
      <c r="I788" s="35">
        <f t="shared" si="335"/>
        <v>4800</v>
      </c>
      <c r="J788" s="36"/>
      <c r="K788" s="62"/>
      <c r="L788" s="36">
        <v>4800</v>
      </c>
      <c r="M788" s="37"/>
      <c r="N788" s="35">
        <f t="shared" si="336"/>
        <v>0</v>
      </c>
      <c r="O788" s="36"/>
      <c r="P788" s="62"/>
      <c r="Q788" s="36">
        <v>0</v>
      </c>
      <c r="R788" s="37"/>
      <c r="S788" s="29">
        <f t="shared" si="324"/>
        <v>0</v>
      </c>
      <c r="T788" s="30" t="str">
        <f t="shared" si="325"/>
        <v xml:space="preserve"> </v>
      </c>
      <c r="U788" s="30" t="str">
        <f t="shared" si="326"/>
        <v xml:space="preserve"> </v>
      </c>
      <c r="V788" s="30">
        <f t="shared" si="327"/>
        <v>0</v>
      </c>
      <c r="W788" s="30" t="str">
        <f t="shared" si="327"/>
        <v xml:space="preserve"> </v>
      </c>
    </row>
    <row r="789" spans="1:23" ht="43.5" customHeight="1" x14ac:dyDescent="0.2">
      <c r="A789" s="74"/>
      <c r="B789" s="75"/>
      <c r="C789" s="4" t="s">
        <v>768</v>
      </c>
      <c r="D789" s="35">
        <f t="shared" si="334"/>
        <v>0</v>
      </c>
      <c r="E789" s="36"/>
      <c r="F789" s="62"/>
      <c r="G789" s="36">
        <v>0</v>
      </c>
      <c r="H789" s="37"/>
      <c r="I789" s="35">
        <f t="shared" si="335"/>
        <v>4800</v>
      </c>
      <c r="J789" s="36"/>
      <c r="K789" s="62"/>
      <c r="L789" s="36">
        <v>4800</v>
      </c>
      <c r="M789" s="37"/>
      <c r="N789" s="35">
        <f t="shared" si="336"/>
        <v>0</v>
      </c>
      <c r="O789" s="36"/>
      <c r="P789" s="62"/>
      <c r="Q789" s="36">
        <v>0</v>
      </c>
      <c r="R789" s="37"/>
      <c r="S789" s="29">
        <f t="shared" si="324"/>
        <v>0</v>
      </c>
      <c r="T789" s="30" t="str">
        <f t="shared" si="325"/>
        <v xml:space="preserve"> </v>
      </c>
      <c r="U789" s="30" t="str">
        <f t="shared" si="326"/>
        <v xml:space="preserve"> </v>
      </c>
      <c r="V789" s="30">
        <f t="shared" si="327"/>
        <v>0</v>
      </c>
      <c r="W789" s="30" t="str">
        <f t="shared" si="327"/>
        <v xml:space="preserve"> </v>
      </c>
    </row>
    <row r="790" spans="1:23" ht="28.5" customHeight="1" x14ac:dyDescent="0.2">
      <c r="A790" s="74"/>
      <c r="B790" s="75"/>
      <c r="C790" s="4" t="s">
        <v>769</v>
      </c>
      <c r="D790" s="35">
        <f t="shared" si="334"/>
        <v>0</v>
      </c>
      <c r="E790" s="36"/>
      <c r="F790" s="62"/>
      <c r="G790" s="36">
        <v>0</v>
      </c>
      <c r="H790" s="37"/>
      <c r="I790" s="35">
        <f t="shared" si="335"/>
        <v>1125</v>
      </c>
      <c r="J790" s="36"/>
      <c r="K790" s="62"/>
      <c r="L790" s="36">
        <v>1125</v>
      </c>
      <c r="M790" s="37"/>
      <c r="N790" s="35">
        <f t="shared" si="336"/>
        <v>1125</v>
      </c>
      <c r="O790" s="36"/>
      <c r="P790" s="62"/>
      <c r="Q790" s="36">
        <v>1125</v>
      </c>
      <c r="R790" s="37"/>
      <c r="S790" s="29">
        <f t="shared" si="324"/>
        <v>1</v>
      </c>
      <c r="T790" s="30" t="str">
        <f t="shared" si="325"/>
        <v xml:space="preserve"> </v>
      </c>
      <c r="U790" s="30" t="str">
        <f t="shared" si="326"/>
        <v xml:space="preserve"> </v>
      </c>
      <c r="V790" s="30">
        <f t="shared" si="327"/>
        <v>1</v>
      </c>
      <c r="W790" s="30" t="str">
        <f t="shared" si="327"/>
        <v xml:space="preserve"> </v>
      </c>
    </row>
    <row r="791" spans="1:23" ht="28.5" customHeight="1" x14ac:dyDescent="0.2">
      <c r="A791" s="74"/>
      <c r="B791" s="75"/>
      <c r="C791" s="4" t="s">
        <v>770</v>
      </c>
      <c r="D791" s="35">
        <f t="shared" si="334"/>
        <v>0</v>
      </c>
      <c r="E791" s="36"/>
      <c r="F791" s="62"/>
      <c r="G791" s="36">
        <v>0</v>
      </c>
      <c r="H791" s="37"/>
      <c r="I791" s="35">
        <f t="shared" si="335"/>
        <v>1125</v>
      </c>
      <c r="J791" s="36"/>
      <c r="K791" s="62"/>
      <c r="L791" s="36">
        <v>1125</v>
      </c>
      <c r="M791" s="37"/>
      <c r="N791" s="35">
        <f t="shared" si="336"/>
        <v>1125</v>
      </c>
      <c r="O791" s="36"/>
      <c r="P791" s="62"/>
      <c r="Q791" s="36">
        <v>1125</v>
      </c>
      <c r="R791" s="37"/>
      <c r="S791" s="29">
        <f t="shared" ref="S791:S854" si="337">IF(I791=0," ",N791/I791)</f>
        <v>1</v>
      </c>
      <c r="T791" s="30" t="str">
        <f t="shared" ref="T791:T854" si="338">IF(J791=0," ",O791/J791)</f>
        <v xml:space="preserve"> </v>
      </c>
      <c r="U791" s="30" t="str">
        <f t="shared" ref="U791:U854" si="339">IF(K791=0," ",P791/K791)</f>
        <v xml:space="preserve"> </v>
      </c>
      <c r="V791" s="30">
        <f t="shared" ref="V791:W854" si="340">IF(L791=0," ",Q791/L791)</f>
        <v>1</v>
      </c>
      <c r="W791" s="30" t="str">
        <f t="shared" si="340"/>
        <v xml:space="preserve"> </v>
      </c>
    </row>
    <row r="792" spans="1:23" ht="43.5" customHeight="1" x14ac:dyDescent="0.2">
      <c r="A792" s="74"/>
      <c r="B792" s="75"/>
      <c r="C792" s="4" t="s">
        <v>771</v>
      </c>
      <c r="D792" s="35">
        <f t="shared" si="334"/>
        <v>0</v>
      </c>
      <c r="E792" s="36"/>
      <c r="F792" s="62"/>
      <c r="G792" s="36">
        <v>0</v>
      </c>
      <c r="H792" s="37"/>
      <c r="I792" s="35">
        <f t="shared" si="335"/>
        <v>1125</v>
      </c>
      <c r="J792" s="36"/>
      <c r="K792" s="62"/>
      <c r="L792" s="36">
        <v>1125</v>
      </c>
      <c r="M792" s="37"/>
      <c r="N792" s="35">
        <f t="shared" si="336"/>
        <v>1125</v>
      </c>
      <c r="O792" s="36"/>
      <c r="P792" s="62"/>
      <c r="Q792" s="36">
        <v>1125</v>
      </c>
      <c r="R792" s="37"/>
      <c r="S792" s="29">
        <f t="shared" si="337"/>
        <v>1</v>
      </c>
      <c r="T792" s="30" t="str">
        <f t="shared" si="338"/>
        <v xml:space="preserve"> </v>
      </c>
      <c r="U792" s="30" t="str">
        <f t="shared" si="339"/>
        <v xml:space="preserve"> </v>
      </c>
      <c r="V792" s="30">
        <f t="shared" si="340"/>
        <v>1</v>
      </c>
      <c r="W792" s="30" t="str">
        <f t="shared" si="340"/>
        <v xml:space="preserve"> </v>
      </c>
    </row>
    <row r="793" spans="1:23" ht="28.5" customHeight="1" x14ac:dyDescent="0.2">
      <c r="A793" s="74"/>
      <c r="B793" s="75"/>
      <c r="C793" s="4" t="s">
        <v>772</v>
      </c>
      <c r="D793" s="35">
        <f t="shared" si="334"/>
        <v>0</v>
      </c>
      <c r="E793" s="36"/>
      <c r="F793" s="62"/>
      <c r="G793" s="36">
        <v>0</v>
      </c>
      <c r="H793" s="37"/>
      <c r="I793" s="35">
        <f t="shared" si="335"/>
        <v>1125</v>
      </c>
      <c r="J793" s="36"/>
      <c r="K793" s="62"/>
      <c r="L793" s="36">
        <v>1125</v>
      </c>
      <c r="M793" s="37"/>
      <c r="N793" s="35">
        <f t="shared" si="336"/>
        <v>1125</v>
      </c>
      <c r="O793" s="36"/>
      <c r="P793" s="62"/>
      <c r="Q793" s="36">
        <v>1125</v>
      </c>
      <c r="R793" s="37"/>
      <c r="S793" s="29">
        <f t="shared" si="337"/>
        <v>1</v>
      </c>
      <c r="T793" s="30" t="str">
        <f t="shared" si="338"/>
        <v xml:space="preserve"> </v>
      </c>
      <c r="U793" s="30" t="str">
        <f t="shared" si="339"/>
        <v xml:space="preserve"> </v>
      </c>
      <c r="V793" s="30">
        <f t="shared" si="340"/>
        <v>1</v>
      </c>
      <c r="W793" s="30" t="str">
        <f t="shared" si="340"/>
        <v xml:space="preserve"> </v>
      </c>
    </row>
    <row r="794" spans="1:23" ht="28.5" customHeight="1" x14ac:dyDescent="0.2">
      <c r="A794" s="74"/>
      <c r="B794" s="75"/>
      <c r="C794" s="4" t="s">
        <v>773</v>
      </c>
      <c r="D794" s="35">
        <f t="shared" si="334"/>
        <v>0</v>
      </c>
      <c r="E794" s="36"/>
      <c r="F794" s="62"/>
      <c r="G794" s="36">
        <v>0</v>
      </c>
      <c r="H794" s="37"/>
      <c r="I794" s="35">
        <f t="shared" si="335"/>
        <v>1125</v>
      </c>
      <c r="J794" s="36"/>
      <c r="K794" s="62"/>
      <c r="L794" s="36">
        <v>1125</v>
      </c>
      <c r="M794" s="37"/>
      <c r="N794" s="35">
        <f t="shared" si="336"/>
        <v>1125</v>
      </c>
      <c r="O794" s="36"/>
      <c r="P794" s="62"/>
      <c r="Q794" s="36">
        <v>1125</v>
      </c>
      <c r="R794" s="37"/>
      <c r="S794" s="29">
        <f t="shared" si="337"/>
        <v>1</v>
      </c>
      <c r="T794" s="30" t="str">
        <f t="shared" si="338"/>
        <v xml:space="preserve"> </v>
      </c>
      <c r="U794" s="30" t="str">
        <f t="shared" si="339"/>
        <v xml:space="preserve"> </v>
      </c>
      <c r="V794" s="30">
        <f t="shared" si="340"/>
        <v>1</v>
      </c>
      <c r="W794" s="30" t="str">
        <f t="shared" si="340"/>
        <v xml:space="preserve"> </v>
      </c>
    </row>
    <row r="795" spans="1:23" ht="28.5" customHeight="1" x14ac:dyDescent="0.2">
      <c r="A795" s="74"/>
      <c r="B795" s="75"/>
      <c r="C795" s="4" t="s">
        <v>774</v>
      </c>
      <c r="D795" s="35">
        <f t="shared" si="334"/>
        <v>0</v>
      </c>
      <c r="E795" s="36"/>
      <c r="F795" s="62"/>
      <c r="G795" s="36">
        <v>0</v>
      </c>
      <c r="H795" s="37"/>
      <c r="I795" s="35">
        <f t="shared" si="335"/>
        <v>1125</v>
      </c>
      <c r="J795" s="36"/>
      <c r="K795" s="62"/>
      <c r="L795" s="36">
        <v>1125</v>
      </c>
      <c r="M795" s="37"/>
      <c r="N795" s="35">
        <f t="shared" si="336"/>
        <v>1125</v>
      </c>
      <c r="O795" s="36"/>
      <c r="P795" s="62"/>
      <c r="Q795" s="36">
        <v>1125</v>
      </c>
      <c r="R795" s="37"/>
      <c r="S795" s="29">
        <f t="shared" si="337"/>
        <v>1</v>
      </c>
      <c r="T795" s="30" t="str">
        <f t="shared" si="338"/>
        <v xml:space="preserve"> </v>
      </c>
      <c r="U795" s="30" t="str">
        <f t="shared" si="339"/>
        <v xml:space="preserve"> </v>
      </c>
      <c r="V795" s="30">
        <f t="shared" si="340"/>
        <v>1</v>
      </c>
      <c r="W795" s="30" t="str">
        <f t="shared" si="340"/>
        <v xml:space="preserve"> </v>
      </c>
    </row>
    <row r="796" spans="1:23" ht="28.5" customHeight="1" x14ac:dyDescent="0.2">
      <c r="A796" s="74"/>
      <c r="B796" s="75"/>
      <c r="C796" s="4" t="s">
        <v>775</v>
      </c>
      <c r="D796" s="35">
        <f t="shared" si="334"/>
        <v>0</v>
      </c>
      <c r="E796" s="36"/>
      <c r="F796" s="62"/>
      <c r="G796" s="36">
        <v>0</v>
      </c>
      <c r="H796" s="37"/>
      <c r="I796" s="35">
        <f t="shared" si="335"/>
        <v>1125</v>
      </c>
      <c r="J796" s="36"/>
      <c r="K796" s="62"/>
      <c r="L796" s="36">
        <v>1125</v>
      </c>
      <c r="M796" s="37"/>
      <c r="N796" s="35">
        <f t="shared" si="336"/>
        <v>1125</v>
      </c>
      <c r="O796" s="36"/>
      <c r="P796" s="62"/>
      <c r="Q796" s="36">
        <v>1125</v>
      </c>
      <c r="R796" s="37"/>
      <c r="S796" s="29">
        <f t="shared" si="337"/>
        <v>1</v>
      </c>
      <c r="T796" s="30" t="str">
        <f t="shared" si="338"/>
        <v xml:space="preserve"> </v>
      </c>
      <c r="U796" s="30" t="str">
        <f t="shared" si="339"/>
        <v xml:space="preserve"> </v>
      </c>
      <c r="V796" s="30">
        <f t="shared" si="340"/>
        <v>1</v>
      </c>
      <c r="W796" s="30" t="str">
        <f t="shared" si="340"/>
        <v xml:space="preserve"> </v>
      </c>
    </row>
    <row r="797" spans="1:23" ht="28.5" customHeight="1" x14ac:dyDescent="0.2">
      <c r="A797" s="74"/>
      <c r="B797" s="75"/>
      <c r="C797" s="4" t="s">
        <v>776</v>
      </c>
      <c r="D797" s="35">
        <f t="shared" si="334"/>
        <v>0</v>
      </c>
      <c r="E797" s="36"/>
      <c r="F797" s="62"/>
      <c r="G797" s="36">
        <v>0</v>
      </c>
      <c r="H797" s="37"/>
      <c r="I797" s="35">
        <f t="shared" si="335"/>
        <v>1125</v>
      </c>
      <c r="J797" s="36"/>
      <c r="K797" s="62"/>
      <c r="L797" s="36">
        <v>1125</v>
      </c>
      <c r="M797" s="37"/>
      <c r="N797" s="35">
        <f t="shared" si="336"/>
        <v>1125</v>
      </c>
      <c r="O797" s="36"/>
      <c r="P797" s="62"/>
      <c r="Q797" s="36">
        <v>1125</v>
      </c>
      <c r="R797" s="37"/>
      <c r="S797" s="29">
        <f t="shared" si="337"/>
        <v>1</v>
      </c>
      <c r="T797" s="30" t="str">
        <f t="shared" si="338"/>
        <v xml:space="preserve"> </v>
      </c>
      <c r="U797" s="30" t="str">
        <f t="shared" si="339"/>
        <v xml:space="preserve"> </v>
      </c>
      <c r="V797" s="30">
        <f t="shared" si="340"/>
        <v>1</v>
      </c>
      <c r="W797" s="30" t="str">
        <f t="shared" si="340"/>
        <v xml:space="preserve"> </v>
      </c>
    </row>
    <row r="798" spans="1:23" ht="39.75" customHeight="1" x14ac:dyDescent="0.2">
      <c r="A798" s="74"/>
      <c r="B798" s="75"/>
      <c r="C798" s="4" t="s">
        <v>777</v>
      </c>
      <c r="D798" s="35">
        <f t="shared" si="334"/>
        <v>0</v>
      </c>
      <c r="E798" s="36"/>
      <c r="F798" s="62"/>
      <c r="G798" s="36">
        <v>0</v>
      </c>
      <c r="H798" s="37"/>
      <c r="I798" s="35">
        <f t="shared" si="335"/>
        <v>1125</v>
      </c>
      <c r="J798" s="36"/>
      <c r="K798" s="62"/>
      <c r="L798" s="36">
        <v>1125</v>
      </c>
      <c r="M798" s="37"/>
      <c r="N798" s="35">
        <f t="shared" si="336"/>
        <v>1125</v>
      </c>
      <c r="O798" s="36"/>
      <c r="P798" s="62"/>
      <c r="Q798" s="36">
        <v>1125</v>
      </c>
      <c r="R798" s="37"/>
      <c r="S798" s="29">
        <f t="shared" si="337"/>
        <v>1</v>
      </c>
      <c r="T798" s="30" t="str">
        <f t="shared" si="338"/>
        <v xml:space="preserve"> </v>
      </c>
      <c r="U798" s="30" t="str">
        <f t="shared" si="339"/>
        <v xml:space="preserve"> </v>
      </c>
      <c r="V798" s="30">
        <f t="shared" si="340"/>
        <v>1</v>
      </c>
      <c r="W798" s="30" t="str">
        <f t="shared" si="340"/>
        <v xml:space="preserve"> </v>
      </c>
    </row>
    <row r="799" spans="1:23" ht="28.5" customHeight="1" x14ac:dyDescent="0.2">
      <c r="A799" s="74"/>
      <c r="B799" s="75"/>
      <c r="C799" s="4" t="s">
        <v>778</v>
      </c>
      <c r="D799" s="35">
        <f t="shared" si="334"/>
        <v>0</v>
      </c>
      <c r="E799" s="36"/>
      <c r="F799" s="62"/>
      <c r="G799" s="36">
        <v>0</v>
      </c>
      <c r="H799" s="37"/>
      <c r="I799" s="35">
        <f t="shared" si="335"/>
        <v>1125</v>
      </c>
      <c r="J799" s="36"/>
      <c r="K799" s="62"/>
      <c r="L799" s="36">
        <v>1125</v>
      </c>
      <c r="M799" s="37"/>
      <c r="N799" s="35">
        <f t="shared" si="336"/>
        <v>1125</v>
      </c>
      <c r="O799" s="36"/>
      <c r="P799" s="62"/>
      <c r="Q799" s="36">
        <v>1125</v>
      </c>
      <c r="R799" s="37"/>
      <c r="S799" s="29">
        <f t="shared" si="337"/>
        <v>1</v>
      </c>
      <c r="T799" s="30" t="str">
        <f t="shared" si="338"/>
        <v xml:space="preserve"> </v>
      </c>
      <c r="U799" s="30" t="str">
        <f t="shared" si="339"/>
        <v xml:space="preserve"> </v>
      </c>
      <c r="V799" s="30">
        <f t="shared" si="340"/>
        <v>1</v>
      </c>
      <c r="W799" s="30" t="str">
        <f t="shared" si="340"/>
        <v xml:space="preserve"> </v>
      </c>
    </row>
    <row r="800" spans="1:23" s="38" customFormat="1" ht="24" customHeight="1" x14ac:dyDescent="0.2">
      <c r="A800" s="78"/>
      <c r="B800" s="79"/>
      <c r="C800" s="54" t="s">
        <v>561</v>
      </c>
      <c r="D800" s="55">
        <f>SUM(E800:H800)</f>
        <v>0</v>
      </c>
      <c r="E800" s="56">
        <f>+E801+E802+E803</f>
        <v>0</v>
      </c>
      <c r="F800" s="56">
        <f>+F801+F802+F803</f>
        <v>0</v>
      </c>
      <c r="G800" s="56">
        <f>+G801+G802+G803</f>
        <v>0</v>
      </c>
      <c r="H800" s="57">
        <f>+H801+H802+H803</f>
        <v>0</v>
      </c>
      <c r="I800" s="55">
        <f t="shared" si="335"/>
        <v>684829.7</v>
      </c>
      <c r="J800" s="56">
        <f>+J801+J802+J803</f>
        <v>684829.7</v>
      </c>
      <c r="K800" s="56">
        <f>+K801+K802+K803</f>
        <v>0</v>
      </c>
      <c r="L800" s="56">
        <f>+L801+L802+L803</f>
        <v>0</v>
      </c>
      <c r="M800" s="57">
        <f>+M801+M802+M803</f>
        <v>0</v>
      </c>
      <c r="N800" s="55">
        <f t="shared" ref="N800:N807" si="341">SUM(O800:R800)</f>
        <v>597754.13</v>
      </c>
      <c r="O800" s="56">
        <f>+O801+O802+O803</f>
        <v>597754.13</v>
      </c>
      <c r="P800" s="56">
        <f>+P801+P802+P803</f>
        <v>0</v>
      </c>
      <c r="Q800" s="56">
        <f>+Q801+Q802+Q803</f>
        <v>0</v>
      </c>
      <c r="R800" s="57">
        <f>+R801+R802+R803</f>
        <v>0</v>
      </c>
      <c r="S800" s="26">
        <f t="shared" si="337"/>
        <v>0.87285076859254207</v>
      </c>
      <c r="T800" s="27">
        <f t="shared" si="338"/>
        <v>0.87285076859254207</v>
      </c>
      <c r="U800" s="27" t="str">
        <f t="shared" si="339"/>
        <v xml:space="preserve"> </v>
      </c>
      <c r="V800" s="27" t="str">
        <f t="shared" si="340"/>
        <v xml:space="preserve"> </v>
      </c>
      <c r="W800" s="27" t="str">
        <f t="shared" si="340"/>
        <v xml:space="preserve"> </v>
      </c>
    </row>
    <row r="801" spans="1:23" ht="27.75" customHeight="1" x14ac:dyDescent="0.2">
      <c r="A801" s="74"/>
      <c r="B801" s="75"/>
      <c r="C801" s="4" t="s">
        <v>779</v>
      </c>
      <c r="D801" s="35">
        <f t="shared" si="334"/>
        <v>0</v>
      </c>
      <c r="E801" s="36">
        <v>0</v>
      </c>
      <c r="F801" s="62"/>
      <c r="G801" s="36"/>
      <c r="H801" s="37"/>
      <c r="I801" s="35">
        <f t="shared" si="335"/>
        <v>237590</v>
      </c>
      <c r="J801" s="36">
        <v>237590</v>
      </c>
      <c r="K801" s="62"/>
      <c r="L801" s="36"/>
      <c r="M801" s="37"/>
      <c r="N801" s="35">
        <f t="shared" si="341"/>
        <v>151935.57</v>
      </c>
      <c r="O801" s="36">
        <v>151935.57</v>
      </c>
      <c r="P801" s="62"/>
      <c r="Q801" s="36"/>
      <c r="R801" s="37"/>
      <c r="S801" s="29">
        <f t="shared" si="337"/>
        <v>0.63948638410707526</v>
      </c>
      <c r="T801" s="30">
        <f t="shared" si="338"/>
        <v>0.63948638410707526</v>
      </c>
      <c r="U801" s="30" t="str">
        <f t="shared" si="339"/>
        <v xml:space="preserve"> </v>
      </c>
      <c r="V801" s="30" t="str">
        <f t="shared" si="340"/>
        <v xml:space="preserve"> </v>
      </c>
      <c r="W801" s="30" t="str">
        <f t="shared" si="340"/>
        <v xml:space="preserve"> </v>
      </c>
    </row>
    <row r="802" spans="1:23" ht="33" customHeight="1" x14ac:dyDescent="0.2">
      <c r="A802" s="74"/>
      <c r="B802" s="75"/>
      <c r="C802" s="4" t="s">
        <v>780</v>
      </c>
      <c r="D802" s="35">
        <f t="shared" si="334"/>
        <v>0</v>
      </c>
      <c r="E802" s="36">
        <v>0</v>
      </c>
      <c r="F802" s="62"/>
      <c r="G802" s="36"/>
      <c r="H802" s="37"/>
      <c r="I802" s="35">
        <f t="shared" si="335"/>
        <v>189793.6</v>
      </c>
      <c r="J802" s="36">
        <v>189793.6</v>
      </c>
      <c r="K802" s="62"/>
      <c r="L802" s="36"/>
      <c r="M802" s="37"/>
      <c r="N802" s="35">
        <f t="shared" si="341"/>
        <v>189755.41</v>
      </c>
      <c r="O802" s="36">
        <v>189755.41</v>
      </c>
      <c r="P802" s="62"/>
      <c r="Q802" s="36"/>
      <c r="R802" s="37"/>
      <c r="S802" s="29">
        <f t="shared" si="337"/>
        <v>0.99979878141307188</v>
      </c>
      <c r="T802" s="30">
        <f t="shared" si="338"/>
        <v>0.99979878141307188</v>
      </c>
      <c r="U802" s="30" t="str">
        <f t="shared" si="339"/>
        <v xml:space="preserve"> </v>
      </c>
      <c r="V802" s="30" t="str">
        <f t="shared" si="340"/>
        <v xml:space="preserve"> </v>
      </c>
      <c r="W802" s="30" t="str">
        <f t="shared" si="340"/>
        <v xml:space="preserve"> </v>
      </c>
    </row>
    <row r="803" spans="1:23" ht="29.25" customHeight="1" x14ac:dyDescent="0.2">
      <c r="A803" s="74"/>
      <c r="B803" s="75"/>
      <c r="C803" s="4" t="s">
        <v>781</v>
      </c>
      <c r="D803" s="35">
        <f t="shared" si="334"/>
        <v>0</v>
      </c>
      <c r="E803" s="36">
        <v>0</v>
      </c>
      <c r="F803" s="62"/>
      <c r="G803" s="36"/>
      <c r="H803" s="37"/>
      <c r="I803" s="35">
        <f t="shared" si="335"/>
        <v>257446.1</v>
      </c>
      <c r="J803" s="36">
        <v>257446.1</v>
      </c>
      <c r="K803" s="62"/>
      <c r="L803" s="36"/>
      <c r="M803" s="37"/>
      <c r="N803" s="35">
        <f t="shared" si="341"/>
        <v>256063.15</v>
      </c>
      <c r="O803" s="36">
        <v>256063.15</v>
      </c>
      <c r="P803" s="62"/>
      <c r="Q803" s="36"/>
      <c r="R803" s="37"/>
      <c r="S803" s="29">
        <f t="shared" si="337"/>
        <v>0.99462819596024177</v>
      </c>
      <c r="T803" s="30">
        <f t="shared" si="338"/>
        <v>0.99462819596024177</v>
      </c>
      <c r="U803" s="30" t="str">
        <f t="shared" si="339"/>
        <v xml:space="preserve"> </v>
      </c>
      <c r="V803" s="30" t="str">
        <f t="shared" si="340"/>
        <v xml:space="preserve"> </v>
      </c>
      <c r="W803" s="30" t="str">
        <f t="shared" si="340"/>
        <v xml:space="preserve"> </v>
      </c>
    </row>
    <row r="804" spans="1:23" s="38" customFormat="1" ht="24" customHeight="1" x14ac:dyDescent="0.2">
      <c r="A804" s="78"/>
      <c r="B804" s="79"/>
      <c r="C804" s="54" t="s">
        <v>134</v>
      </c>
      <c r="D804" s="55">
        <f>SUM(E804:H804)</f>
        <v>0</v>
      </c>
      <c r="E804" s="56">
        <f>+E805+E806</f>
        <v>0</v>
      </c>
      <c r="F804" s="56">
        <f>+F805+F806</f>
        <v>0</v>
      </c>
      <c r="G804" s="56">
        <f>+G805+G806</f>
        <v>0</v>
      </c>
      <c r="H804" s="57">
        <f>+H805+H806</f>
        <v>0</v>
      </c>
      <c r="I804" s="55">
        <f t="shared" si="335"/>
        <v>298525.10200000001</v>
      </c>
      <c r="J804" s="56">
        <f>+J805+J806</f>
        <v>298525.10200000001</v>
      </c>
      <c r="K804" s="56">
        <f>+K805+K806</f>
        <v>0</v>
      </c>
      <c r="L804" s="56">
        <f>+L805+L806</f>
        <v>0</v>
      </c>
      <c r="M804" s="57">
        <f>+M805+M806</f>
        <v>0</v>
      </c>
      <c r="N804" s="55">
        <f t="shared" si="341"/>
        <v>295951.04000000004</v>
      </c>
      <c r="O804" s="56">
        <f>+O805+O806</f>
        <v>295951.04000000004</v>
      </c>
      <c r="P804" s="56">
        <f>+P805+P806</f>
        <v>0</v>
      </c>
      <c r="Q804" s="56">
        <f>+Q805+Q806</f>
        <v>0</v>
      </c>
      <c r="R804" s="57">
        <f>+R805+R806</f>
        <v>0</v>
      </c>
      <c r="S804" s="26">
        <f t="shared" si="337"/>
        <v>0.99137740182398471</v>
      </c>
      <c r="T804" s="27">
        <f t="shared" si="338"/>
        <v>0.99137740182398471</v>
      </c>
      <c r="U804" s="27" t="str">
        <f t="shared" si="339"/>
        <v xml:space="preserve"> </v>
      </c>
      <c r="V804" s="27" t="str">
        <f t="shared" si="340"/>
        <v xml:space="preserve"> </v>
      </c>
      <c r="W804" s="27" t="str">
        <f t="shared" si="340"/>
        <v xml:space="preserve"> </v>
      </c>
    </row>
    <row r="805" spans="1:23" ht="30.75" customHeight="1" x14ac:dyDescent="0.2">
      <c r="A805" s="74"/>
      <c r="B805" s="75"/>
      <c r="C805" s="4" t="s">
        <v>782</v>
      </c>
      <c r="D805" s="35">
        <f t="shared" si="334"/>
        <v>0</v>
      </c>
      <c r="E805" s="36">
        <v>0</v>
      </c>
      <c r="F805" s="62"/>
      <c r="G805" s="36"/>
      <c r="H805" s="37"/>
      <c r="I805" s="35">
        <f t="shared" si="335"/>
        <v>196759.80000000002</v>
      </c>
      <c r="J805" s="36">
        <v>196759.80000000002</v>
      </c>
      <c r="K805" s="62"/>
      <c r="L805" s="36"/>
      <c r="M805" s="37"/>
      <c r="N805" s="35">
        <f t="shared" si="341"/>
        <v>195951.04</v>
      </c>
      <c r="O805" s="36">
        <v>195951.04</v>
      </c>
      <c r="P805" s="62"/>
      <c r="Q805" s="36"/>
      <c r="R805" s="37"/>
      <c r="S805" s="29">
        <f t="shared" si="337"/>
        <v>0.9958896075316197</v>
      </c>
      <c r="T805" s="30">
        <f t="shared" si="338"/>
        <v>0.9958896075316197</v>
      </c>
      <c r="U805" s="30" t="str">
        <f t="shared" si="339"/>
        <v xml:space="preserve"> </v>
      </c>
      <c r="V805" s="30" t="str">
        <f t="shared" si="340"/>
        <v xml:space="preserve"> </v>
      </c>
      <c r="W805" s="30" t="str">
        <f t="shared" si="340"/>
        <v xml:space="preserve"> </v>
      </c>
    </row>
    <row r="806" spans="1:23" ht="27.75" customHeight="1" x14ac:dyDescent="0.2">
      <c r="A806" s="74"/>
      <c r="B806" s="75"/>
      <c r="C806" s="4" t="s">
        <v>783</v>
      </c>
      <c r="D806" s="35">
        <f t="shared" si="334"/>
        <v>0</v>
      </c>
      <c r="E806" s="36">
        <v>0</v>
      </c>
      <c r="F806" s="62"/>
      <c r="G806" s="36"/>
      <c r="H806" s="37"/>
      <c r="I806" s="35">
        <f t="shared" si="335"/>
        <v>101765.30200000001</v>
      </c>
      <c r="J806" s="36">
        <v>101765.30200000001</v>
      </c>
      <c r="K806" s="62"/>
      <c r="L806" s="36"/>
      <c r="M806" s="37"/>
      <c r="N806" s="35">
        <f t="shared" si="341"/>
        <v>100000</v>
      </c>
      <c r="O806" s="36">
        <v>100000</v>
      </c>
      <c r="P806" s="62"/>
      <c r="Q806" s="36"/>
      <c r="R806" s="37"/>
      <c r="S806" s="29">
        <f t="shared" si="337"/>
        <v>0.98265320334822959</v>
      </c>
      <c r="T806" s="30">
        <f t="shared" si="338"/>
        <v>0.98265320334822959</v>
      </c>
      <c r="U806" s="30" t="str">
        <f t="shared" si="339"/>
        <v xml:space="preserve"> </v>
      </c>
      <c r="V806" s="30" t="str">
        <f t="shared" si="340"/>
        <v xml:space="preserve"> </v>
      </c>
      <c r="W806" s="30" t="str">
        <f t="shared" si="340"/>
        <v xml:space="preserve"> </v>
      </c>
    </row>
    <row r="807" spans="1:23" ht="72.75" customHeight="1" x14ac:dyDescent="0.2">
      <c r="A807" s="72">
        <v>1183</v>
      </c>
      <c r="B807" s="76">
        <v>32004</v>
      </c>
      <c r="C807" s="1" t="s">
        <v>784</v>
      </c>
      <c r="D807" s="5">
        <f>SUM(E807:H807)</f>
        <v>82210.3</v>
      </c>
      <c r="E807" s="6">
        <f>+E809+E811</f>
        <v>0</v>
      </c>
      <c r="F807" s="6">
        <f>+F809+F811</f>
        <v>82210.3</v>
      </c>
      <c r="G807" s="6">
        <f>+G809+G811</f>
        <v>0</v>
      </c>
      <c r="H807" s="7">
        <f>+H809+H811</f>
        <v>0</v>
      </c>
      <c r="I807" s="5">
        <f t="shared" si="335"/>
        <v>73640.2</v>
      </c>
      <c r="J807" s="6">
        <f>+J809+J811</f>
        <v>0</v>
      </c>
      <c r="K807" s="6">
        <f>+K809+K811</f>
        <v>70032.7</v>
      </c>
      <c r="L807" s="6">
        <f>+L809+L811</f>
        <v>3607.5</v>
      </c>
      <c r="M807" s="7">
        <f>+M809+M811</f>
        <v>0</v>
      </c>
      <c r="N807" s="5">
        <f t="shared" si="341"/>
        <v>72324.73</v>
      </c>
      <c r="O807" s="6">
        <f>+O809+O811</f>
        <v>0</v>
      </c>
      <c r="P807" s="6">
        <f>+P809+P811</f>
        <v>70024.73</v>
      </c>
      <c r="Q807" s="6">
        <f>+Q809+Q811</f>
        <v>2300</v>
      </c>
      <c r="R807" s="7">
        <f>+R809+R811</f>
        <v>0</v>
      </c>
      <c r="S807" s="26">
        <f t="shared" si="337"/>
        <v>0.9821365232576772</v>
      </c>
      <c r="T807" s="27" t="str">
        <f t="shared" si="338"/>
        <v xml:space="preserve"> </v>
      </c>
      <c r="U807" s="27">
        <f t="shared" si="339"/>
        <v>0.99988619601985929</v>
      </c>
      <c r="V807" s="27">
        <f t="shared" si="340"/>
        <v>0.63756063756063752</v>
      </c>
      <c r="W807" s="27" t="str">
        <f t="shared" si="340"/>
        <v xml:space="preserve"> </v>
      </c>
    </row>
    <row r="808" spans="1:23" ht="16.5" x14ac:dyDescent="0.2">
      <c r="A808" s="74"/>
      <c r="B808" s="75"/>
      <c r="C808" s="4" t="s">
        <v>10</v>
      </c>
      <c r="D808" s="5"/>
      <c r="E808" s="6"/>
      <c r="F808" s="6"/>
      <c r="G808" s="6"/>
      <c r="H808" s="7"/>
      <c r="I808" s="5"/>
      <c r="J808" s="6"/>
      <c r="K808" s="6"/>
      <c r="L808" s="6"/>
      <c r="M808" s="7"/>
      <c r="N808" s="5"/>
      <c r="O808" s="6"/>
      <c r="P808" s="6"/>
      <c r="Q808" s="6"/>
      <c r="R808" s="7"/>
      <c r="S808" s="29" t="str">
        <f t="shared" si="337"/>
        <v xml:space="preserve"> </v>
      </c>
      <c r="T808" s="30" t="str">
        <f t="shared" si="338"/>
        <v xml:space="preserve"> </v>
      </c>
      <c r="U808" s="30" t="str">
        <f t="shared" si="339"/>
        <v xml:space="preserve"> </v>
      </c>
      <c r="V808" s="30" t="str">
        <f t="shared" si="340"/>
        <v xml:space="preserve"> </v>
      </c>
      <c r="W808" s="30" t="str">
        <f t="shared" si="340"/>
        <v xml:space="preserve"> </v>
      </c>
    </row>
    <row r="809" spans="1:23" s="38" customFormat="1" ht="30.75" customHeight="1" x14ac:dyDescent="0.2">
      <c r="A809" s="82"/>
      <c r="B809" s="83"/>
      <c r="C809" s="54" t="s">
        <v>131</v>
      </c>
      <c r="D809" s="55">
        <f>SUM(E809:H809)</f>
        <v>82210.3</v>
      </c>
      <c r="E809" s="56">
        <f>+E810</f>
        <v>0</v>
      </c>
      <c r="F809" s="56">
        <f>+F810</f>
        <v>82210.3</v>
      </c>
      <c r="G809" s="56">
        <f>+G810</f>
        <v>0</v>
      </c>
      <c r="H809" s="57">
        <f>+H810</f>
        <v>0</v>
      </c>
      <c r="I809" s="55">
        <f>SUM(J809:M809)</f>
        <v>70032.7</v>
      </c>
      <c r="J809" s="56">
        <f>+J810</f>
        <v>0</v>
      </c>
      <c r="K809" s="56">
        <f>+K810</f>
        <v>70032.7</v>
      </c>
      <c r="L809" s="56">
        <f>+L810</f>
        <v>0</v>
      </c>
      <c r="M809" s="57">
        <f>+M810</f>
        <v>0</v>
      </c>
      <c r="N809" s="55">
        <f>SUM(O809:R809)</f>
        <v>70024.73</v>
      </c>
      <c r="O809" s="56">
        <f>+O810</f>
        <v>0</v>
      </c>
      <c r="P809" s="56">
        <f>+P810</f>
        <v>70024.73</v>
      </c>
      <c r="Q809" s="56">
        <f>+Q810</f>
        <v>0</v>
      </c>
      <c r="R809" s="57">
        <f>+R810</f>
        <v>0</v>
      </c>
      <c r="S809" s="26">
        <f t="shared" si="337"/>
        <v>0.99988619601985929</v>
      </c>
      <c r="T809" s="27" t="str">
        <f t="shared" si="338"/>
        <v xml:space="preserve"> </v>
      </c>
      <c r="U809" s="27">
        <f t="shared" si="339"/>
        <v>0.99988619601985929</v>
      </c>
      <c r="V809" s="27" t="str">
        <f t="shared" si="340"/>
        <v xml:space="preserve"> </v>
      </c>
      <c r="W809" s="27" t="str">
        <f t="shared" si="340"/>
        <v xml:space="preserve"> </v>
      </c>
    </row>
    <row r="810" spans="1:23" ht="43.5" customHeight="1" x14ac:dyDescent="0.2">
      <c r="A810" s="84"/>
      <c r="B810" s="85"/>
      <c r="C810" s="4" t="s">
        <v>108</v>
      </c>
      <c r="D810" s="35">
        <f>SUM(E810:H810)</f>
        <v>82210.3</v>
      </c>
      <c r="E810" s="36"/>
      <c r="F810" s="62">
        <v>82210.3</v>
      </c>
      <c r="G810" s="36"/>
      <c r="H810" s="37"/>
      <c r="I810" s="35">
        <f>SUM(J810:M810)</f>
        <v>70032.7</v>
      </c>
      <c r="J810" s="36"/>
      <c r="K810" s="62">
        <v>70032.7</v>
      </c>
      <c r="L810" s="36"/>
      <c r="M810" s="37"/>
      <c r="N810" s="35">
        <f>SUM(O810:R810)</f>
        <v>70024.73</v>
      </c>
      <c r="O810" s="36"/>
      <c r="P810" s="62">
        <v>70024.73</v>
      </c>
      <c r="Q810" s="36"/>
      <c r="R810" s="37"/>
      <c r="S810" s="29">
        <f t="shared" si="337"/>
        <v>0.99988619601985929</v>
      </c>
      <c r="T810" s="30" t="str">
        <f t="shared" si="338"/>
        <v xml:space="preserve"> </v>
      </c>
      <c r="U810" s="30">
        <f t="shared" si="339"/>
        <v>0.99988619601985929</v>
      </c>
      <c r="V810" s="30" t="str">
        <f t="shared" si="340"/>
        <v xml:space="preserve"> </v>
      </c>
      <c r="W810" s="30" t="str">
        <f t="shared" si="340"/>
        <v xml:space="preserve"> </v>
      </c>
    </row>
    <row r="811" spans="1:23" s="38" customFormat="1" ht="24.75" customHeight="1" x14ac:dyDescent="0.2">
      <c r="A811" s="82"/>
      <c r="B811" s="83"/>
      <c r="C811" s="54" t="s">
        <v>232</v>
      </c>
      <c r="D811" s="55">
        <f>SUM(E811:H811)</f>
        <v>0</v>
      </c>
      <c r="E811" s="56">
        <f>+E812</f>
        <v>0</v>
      </c>
      <c r="F811" s="56">
        <f>+F812</f>
        <v>0</v>
      </c>
      <c r="G811" s="56">
        <f>+G812</f>
        <v>0</v>
      </c>
      <c r="H811" s="57">
        <f>+H812</f>
        <v>0</v>
      </c>
      <c r="I811" s="55">
        <f>SUM(J811:M811)</f>
        <v>3607.5</v>
      </c>
      <c r="J811" s="56">
        <f>+J812</f>
        <v>0</v>
      </c>
      <c r="K811" s="56">
        <f>+K812</f>
        <v>0</v>
      </c>
      <c r="L811" s="56">
        <f>+L812</f>
        <v>3607.5</v>
      </c>
      <c r="M811" s="57">
        <f>+M812</f>
        <v>0</v>
      </c>
      <c r="N811" s="55">
        <f>SUM(O811:R811)</f>
        <v>2300</v>
      </c>
      <c r="O811" s="56">
        <f>+O812</f>
        <v>0</v>
      </c>
      <c r="P811" s="56">
        <f>+P812</f>
        <v>0</v>
      </c>
      <c r="Q811" s="56">
        <f>+Q812</f>
        <v>2300</v>
      </c>
      <c r="R811" s="57">
        <f>+R812</f>
        <v>0</v>
      </c>
      <c r="S811" s="26">
        <f t="shared" si="337"/>
        <v>0.63756063756063752</v>
      </c>
      <c r="T811" s="27" t="str">
        <f t="shared" si="338"/>
        <v xml:space="preserve"> </v>
      </c>
      <c r="U811" s="27" t="str">
        <f t="shared" si="339"/>
        <v xml:space="preserve"> </v>
      </c>
      <c r="V811" s="27">
        <f t="shared" si="340"/>
        <v>0.63756063756063752</v>
      </c>
      <c r="W811" s="27" t="str">
        <f t="shared" si="340"/>
        <v xml:space="preserve"> </v>
      </c>
    </row>
    <row r="812" spans="1:23" ht="24.75" customHeight="1" x14ac:dyDescent="0.2">
      <c r="A812" s="84"/>
      <c r="B812" s="85"/>
      <c r="C812" s="4" t="s">
        <v>785</v>
      </c>
      <c r="D812" s="35">
        <f>SUM(E812:H812)</f>
        <v>0</v>
      </c>
      <c r="E812" s="36"/>
      <c r="F812" s="62"/>
      <c r="G812" s="36">
        <v>0</v>
      </c>
      <c r="H812" s="37"/>
      <c r="I812" s="35">
        <f>SUM(J812:M812)</f>
        <v>3607.5</v>
      </c>
      <c r="J812" s="36"/>
      <c r="K812" s="62"/>
      <c r="L812" s="36">
        <v>3607.5</v>
      </c>
      <c r="M812" s="37"/>
      <c r="N812" s="35">
        <f>SUM(O812:R812)</f>
        <v>2300</v>
      </c>
      <c r="O812" s="36"/>
      <c r="P812" s="62"/>
      <c r="Q812" s="36">
        <v>2300</v>
      </c>
      <c r="R812" s="37"/>
      <c r="S812" s="29">
        <f t="shared" si="337"/>
        <v>0.63756063756063752</v>
      </c>
      <c r="T812" s="30" t="str">
        <f t="shared" si="338"/>
        <v xml:space="preserve"> </v>
      </c>
      <c r="U812" s="30" t="str">
        <f t="shared" si="339"/>
        <v xml:space="preserve"> </v>
      </c>
      <c r="V812" s="30">
        <f t="shared" si="340"/>
        <v>0.63756063756063752</v>
      </c>
      <c r="W812" s="30" t="str">
        <f t="shared" si="340"/>
        <v xml:space="preserve"> </v>
      </c>
    </row>
    <row r="813" spans="1:23" ht="80.25" customHeight="1" x14ac:dyDescent="0.2">
      <c r="A813" s="72">
        <v>1183</v>
      </c>
      <c r="B813" s="76">
        <v>32007</v>
      </c>
      <c r="C813" s="1" t="s">
        <v>109</v>
      </c>
      <c r="D813" s="5">
        <f>SUM(E813:H813)</f>
        <v>3859153.8</v>
      </c>
      <c r="E813" s="6">
        <f>+E815+E820+E823+E829+E831+E837</f>
        <v>3854548.8</v>
      </c>
      <c r="F813" s="6">
        <f>+F815+F820+F823+F829+F831+F837</f>
        <v>0</v>
      </c>
      <c r="G813" s="6">
        <f>+G815+G820+G823+G829+G831+G837</f>
        <v>4605</v>
      </c>
      <c r="H813" s="7">
        <f>+H815+H820+H823+H829+H831+H837</f>
        <v>0</v>
      </c>
      <c r="I813" s="5">
        <f>SUM(J813:M813)</f>
        <v>2055503.1</v>
      </c>
      <c r="J813" s="6">
        <f>+J815+J820+J823+J829+J831+J837</f>
        <v>2051703.1</v>
      </c>
      <c r="K813" s="6">
        <f>+K815+K820+K823+K829+K831+K837</f>
        <v>0</v>
      </c>
      <c r="L813" s="6">
        <f>+L815+L820+L823+L829+L831+L837</f>
        <v>3800</v>
      </c>
      <c r="M813" s="7">
        <f>+M815+M820+M823+M829+M831+M837</f>
        <v>0</v>
      </c>
      <c r="N813" s="5">
        <f>SUM(O813:R813)</f>
        <v>1914024.8199999998</v>
      </c>
      <c r="O813" s="6">
        <f>+O815+O820+O823+O829+O831+O837</f>
        <v>1910624.8199999998</v>
      </c>
      <c r="P813" s="6">
        <f>+P815+P820+P823+P829+P831+P837</f>
        <v>0</v>
      </c>
      <c r="Q813" s="6">
        <f>+Q815+Q820+Q823+Q829+Q831+Q837</f>
        <v>3400</v>
      </c>
      <c r="R813" s="7">
        <f>+R815+R820+R823+R829+R831+R837</f>
        <v>0</v>
      </c>
      <c r="S813" s="26">
        <f t="shared" si="337"/>
        <v>0.93117097220626899</v>
      </c>
      <c r="T813" s="27">
        <f t="shared" si="338"/>
        <v>0.93123845258117499</v>
      </c>
      <c r="U813" s="27" t="str">
        <f t="shared" si="339"/>
        <v xml:space="preserve"> </v>
      </c>
      <c r="V813" s="27">
        <f t="shared" si="340"/>
        <v>0.89473684210526316</v>
      </c>
      <c r="W813" s="27" t="str">
        <f t="shared" si="340"/>
        <v xml:space="preserve"> </v>
      </c>
    </row>
    <row r="814" spans="1:23" ht="16.5" x14ac:dyDescent="0.2">
      <c r="A814" s="74"/>
      <c r="B814" s="75"/>
      <c r="C814" s="4" t="s">
        <v>10</v>
      </c>
      <c r="D814" s="5"/>
      <c r="E814" s="6"/>
      <c r="F814" s="6"/>
      <c r="G814" s="6"/>
      <c r="H814" s="7"/>
      <c r="I814" s="5"/>
      <c r="J814" s="6"/>
      <c r="K814" s="6"/>
      <c r="L814" s="6"/>
      <c r="M814" s="7"/>
      <c r="N814" s="5"/>
      <c r="O814" s="6"/>
      <c r="P814" s="6"/>
      <c r="Q814" s="6"/>
      <c r="R814" s="7"/>
      <c r="S814" s="29" t="str">
        <f t="shared" si="337"/>
        <v xml:space="preserve"> </v>
      </c>
      <c r="T814" s="30" t="str">
        <f t="shared" si="338"/>
        <v xml:space="preserve"> </v>
      </c>
      <c r="U814" s="30" t="str">
        <f t="shared" si="339"/>
        <v xml:space="preserve"> </v>
      </c>
      <c r="V814" s="30" t="str">
        <f t="shared" si="340"/>
        <v xml:space="preserve"> </v>
      </c>
      <c r="W814" s="30" t="str">
        <f t="shared" si="340"/>
        <v xml:space="preserve"> </v>
      </c>
    </row>
    <row r="815" spans="1:23" s="38" customFormat="1" ht="30" customHeight="1" x14ac:dyDescent="0.2">
      <c r="A815" s="82"/>
      <c r="B815" s="83"/>
      <c r="C815" s="54" t="s">
        <v>220</v>
      </c>
      <c r="D815" s="55">
        <f t="shared" ref="D815:D839" si="342">SUM(E815:H815)</f>
        <v>829197.8</v>
      </c>
      <c r="E815" s="56">
        <f>+E816+E817+E818+E819</f>
        <v>829197.8</v>
      </c>
      <c r="F815" s="56">
        <f>+F816+F817+F818+F819</f>
        <v>0</v>
      </c>
      <c r="G815" s="56">
        <f>+G816+G817+G818+G819</f>
        <v>0</v>
      </c>
      <c r="H815" s="57">
        <f>+H816+H817+H818+H819</f>
        <v>0</v>
      </c>
      <c r="I815" s="55">
        <f t="shared" ref="I815:I839" si="343">SUM(J815:M815)</f>
        <v>494571</v>
      </c>
      <c r="J815" s="56">
        <f>+J816+J817+J818+J819</f>
        <v>494571</v>
      </c>
      <c r="K815" s="56">
        <f>+K816+K817+K818+K819</f>
        <v>0</v>
      </c>
      <c r="L815" s="56">
        <f>+L816+L817+L818+L819</f>
        <v>0</v>
      </c>
      <c r="M815" s="57">
        <f>+M816+M817+M818+M819</f>
        <v>0</v>
      </c>
      <c r="N815" s="55">
        <f t="shared" ref="N815:N839" si="344">SUM(O815:R815)</f>
        <v>368457.39</v>
      </c>
      <c r="O815" s="56">
        <f>+O816+O817+O818+O819</f>
        <v>368457.39</v>
      </c>
      <c r="P815" s="56">
        <f>+P816+P817+P818+P819</f>
        <v>0</v>
      </c>
      <c r="Q815" s="56">
        <f>+Q816+Q817+Q818+Q819</f>
        <v>0</v>
      </c>
      <c r="R815" s="57">
        <f>+R816+R817+R818+R819</f>
        <v>0</v>
      </c>
      <c r="S815" s="26">
        <f t="shared" si="337"/>
        <v>0.7450040337989895</v>
      </c>
      <c r="T815" s="27">
        <f t="shared" si="338"/>
        <v>0.7450040337989895</v>
      </c>
      <c r="U815" s="27" t="str">
        <f t="shared" si="339"/>
        <v xml:space="preserve"> </v>
      </c>
      <c r="V815" s="27" t="str">
        <f t="shared" si="340"/>
        <v xml:space="preserve"> </v>
      </c>
      <c r="W815" s="27" t="str">
        <f t="shared" si="340"/>
        <v xml:space="preserve"> </v>
      </c>
    </row>
    <row r="816" spans="1:23" ht="45.75" customHeight="1" x14ac:dyDescent="0.2">
      <c r="A816" s="84"/>
      <c r="B816" s="85"/>
      <c r="C816" s="4" t="s">
        <v>786</v>
      </c>
      <c r="D816" s="35">
        <f t="shared" si="342"/>
        <v>228066.3</v>
      </c>
      <c r="E816" s="36">
        <v>228066.3</v>
      </c>
      <c r="F816" s="62"/>
      <c r="G816" s="36"/>
      <c r="H816" s="37"/>
      <c r="I816" s="35">
        <f t="shared" si="343"/>
        <v>153660.9</v>
      </c>
      <c r="J816" s="36">
        <v>153660.9</v>
      </c>
      <c r="K816" s="62"/>
      <c r="L816" s="36"/>
      <c r="M816" s="37"/>
      <c r="N816" s="35">
        <f t="shared" si="344"/>
        <v>120934.13</v>
      </c>
      <c r="O816" s="36">
        <v>120934.13</v>
      </c>
      <c r="P816" s="62"/>
      <c r="Q816" s="36"/>
      <c r="R816" s="37"/>
      <c r="S816" s="29">
        <f t="shared" si="337"/>
        <v>0.78701953457255558</v>
      </c>
      <c r="T816" s="30">
        <f t="shared" si="338"/>
        <v>0.78701953457255558</v>
      </c>
      <c r="U816" s="30" t="str">
        <f t="shared" si="339"/>
        <v xml:space="preserve"> </v>
      </c>
      <c r="V816" s="30" t="str">
        <f t="shared" si="340"/>
        <v xml:space="preserve"> </v>
      </c>
      <c r="W816" s="30" t="str">
        <f t="shared" si="340"/>
        <v xml:space="preserve"> </v>
      </c>
    </row>
    <row r="817" spans="1:23" ht="43.5" customHeight="1" x14ac:dyDescent="0.2">
      <c r="A817" s="84"/>
      <c r="B817" s="85"/>
      <c r="C817" s="4" t="s">
        <v>110</v>
      </c>
      <c r="D817" s="35">
        <f t="shared" si="342"/>
        <v>245457.2</v>
      </c>
      <c r="E817" s="36">
        <v>245457.2</v>
      </c>
      <c r="F817" s="62"/>
      <c r="G817" s="36"/>
      <c r="H817" s="37"/>
      <c r="I817" s="35">
        <f t="shared" si="343"/>
        <v>171135.9</v>
      </c>
      <c r="J817" s="36">
        <v>171135.9</v>
      </c>
      <c r="K817" s="62"/>
      <c r="L817" s="36"/>
      <c r="M817" s="37"/>
      <c r="N817" s="35">
        <f t="shared" si="344"/>
        <v>159761.85999999999</v>
      </c>
      <c r="O817" s="36">
        <v>159761.85999999999</v>
      </c>
      <c r="P817" s="62"/>
      <c r="Q817" s="36"/>
      <c r="R817" s="37"/>
      <c r="S817" s="29">
        <f t="shared" si="337"/>
        <v>0.93353796602583083</v>
      </c>
      <c r="T817" s="30">
        <f t="shared" si="338"/>
        <v>0.93353796602583083</v>
      </c>
      <c r="U817" s="30" t="str">
        <f t="shared" si="339"/>
        <v xml:space="preserve"> </v>
      </c>
      <c r="V817" s="30" t="str">
        <f t="shared" si="340"/>
        <v xml:space="preserve"> </v>
      </c>
      <c r="W817" s="30" t="str">
        <f t="shared" si="340"/>
        <v xml:space="preserve"> </v>
      </c>
    </row>
    <row r="818" spans="1:23" ht="42" customHeight="1" x14ac:dyDescent="0.2">
      <c r="A818" s="84"/>
      <c r="B818" s="85"/>
      <c r="C818" s="4" t="s">
        <v>787</v>
      </c>
      <c r="D818" s="35">
        <f t="shared" si="342"/>
        <v>212401.9</v>
      </c>
      <c r="E818" s="36">
        <v>212401.9</v>
      </c>
      <c r="F818" s="62"/>
      <c r="G818" s="36"/>
      <c r="H818" s="37"/>
      <c r="I818" s="35">
        <f t="shared" si="343"/>
        <v>102429.8</v>
      </c>
      <c r="J818" s="36">
        <v>102429.8</v>
      </c>
      <c r="K818" s="62"/>
      <c r="L818" s="36"/>
      <c r="M818" s="37"/>
      <c r="N818" s="35">
        <f t="shared" si="344"/>
        <v>49581.4</v>
      </c>
      <c r="O818" s="36">
        <v>49581.4</v>
      </c>
      <c r="P818" s="62"/>
      <c r="Q818" s="36"/>
      <c r="R818" s="37"/>
      <c r="S818" s="29">
        <f t="shared" si="337"/>
        <v>0.48405249253635174</v>
      </c>
      <c r="T818" s="30">
        <f t="shared" si="338"/>
        <v>0.48405249253635174</v>
      </c>
      <c r="U818" s="30" t="str">
        <f t="shared" si="339"/>
        <v xml:space="preserve"> </v>
      </c>
      <c r="V818" s="30" t="str">
        <f t="shared" si="340"/>
        <v xml:space="preserve"> </v>
      </c>
      <c r="W818" s="30" t="str">
        <f t="shared" si="340"/>
        <v xml:space="preserve"> </v>
      </c>
    </row>
    <row r="819" spans="1:23" ht="41.25" customHeight="1" x14ac:dyDescent="0.2">
      <c r="A819" s="84"/>
      <c r="B819" s="85"/>
      <c r="C819" s="4" t="s">
        <v>788</v>
      </c>
      <c r="D819" s="35">
        <f t="shared" si="342"/>
        <v>143272.4</v>
      </c>
      <c r="E819" s="36">
        <v>143272.4</v>
      </c>
      <c r="F819" s="62"/>
      <c r="G819" s="36"/>
      <c r="H819" s="37"/>
      <c r="I819" s="35">
        <f t="shared" si="343"/>
        <v>67344.400000000009</v>
      </c>
      <c r="J819" s="36">
        <v>67344.400000000009</v>
      </c>
      <c r="K819" s="62"/>
      <c r="L819" s="36"/>
      <c r="M819" s="37"/>
      <c r="N819" s="35">
        <f t="shared" si="344"/>
        <v>38180</v>
      </c>
      <c r="O819" s="36">
        <v>38180</v>
      </c>
      <c r="P819" s="62"/>
      <c r="Q819" s="36"/>
      <c r="R819" s="37"/>
      <c r="S819" s="29">
        <f t="shared" si="337"/>
        <v>0.5669365233040905</v>
      </c>
      <c r="T819" s="30">
        <f t="shared" si="338"/>
        <v>0.5669365233040905</v>
      </c>
      <c r="U819" s="30" t="str">
        <f t="shared" si="339"/>
        <v xml:space="preserve"> </v>
      </c>
      <c r="V819" s="30" t="str">
        <f t="shared" si="340"/>
        <v xml:space="preserve"> </v>
      </c>
      <c r="W819" s="30" t="str">
        <f t="shared" si="340"/>
        <v xml:space="preserve"> </v>
      </c>
    </row>
    <row r="820" spans="1:23" s="38" customFormat="1" ht="32.25" customHeight="1" x14ac:dyDescent="0.2">
      <c r="A820" s="82"/>
      <c r="B820" s="83"/>
      <c r="C820" s="54" t="s">
        <v>223</v>
      </c>
      <c r="D820" s="55">
        <f t="shared" si="342"/>
        <v>380626.4</v>
      </c>
      <c r="E820" s="56">
        <f>+E821+E822</f>
        <v>380626.4</v>
      </c>
      <c r="F820" s="56">
        <f>+F821+F822</f>
        <v>0</v>
      </c>
      <c r="G820" s="56">
        <f>+G821+G822</f>
        <v>0</v>
      </c>
      <c r="H820" s="57">
        <f>+H821+H822</f>
        <v>0</v>
      </c>
      <c r="I820" s="55">
        <f t="shared" si="343"/>
        <v>41928.600000000006</v>
      </c>
      <c r="J820" s="56">
        <f>+J821+J822</f>
        <v>41928.600000000006</v>
      </c>
      <c r="K820" s="56">
        <f>+K821+K822</f>
        <v>0</v>
      </c>
      <c r="L820" s="56">
        <f>+L821+L822</f>
        <v>0</v>
      </c>
      <c r="M820" s="57">
        <f>+M821+M822</f>
        <v>0</v>
      </c>
      <c r="N820" s="55">
        <f t="shared" si="344"/>
        <v>41789.300000000003</v>
      </c>
      <c r="O820" s="56">
        <f>+O821+O822</f>
        <v>41789.300000000003</v>
      </c>
      <c r="P820" s="56">
        <f>+P821+P822</f>
        <v>0</v>
      </c>
      <c r="Q820" s="56">
        <f>+Q821+Q822</f>
        <v>0</v>
      </c>
      <c r="R820" s="57">
        <f>+R821+R822</f>
        <v>0</v>
      </c>
      <c r="S820" s="26">
        <f t="shared" si="337"/>
        <v>0.99667768539851076</v>
      </c>
      <c r="T820" s="27">
        <f t="shared" si="338"/>
        <v>0.99667768539851076</v>
      </c>
      <c r="U820" s="27" t="str">
        <f t="shared" si="339"/>
        <v xml:space="preserve"> </v>
      </c>
      <c r="V820" s="27" t="str">
        <f t="shared" si="340"/>
        <v xml:space="preserve"> </v>
      </c>
      <c r="W820" s="27" t="str">
        <f t="shared" si="340"/>
        <v xml:space="preserve"> </v>
      </c>
    </row>
    <row r="821" spans="1:23" ht="30.75" customHeight="1" x14ac:dyDescent="0.2">
      <c r="A821" s="84"/>
      <c r="B821" s="85"/>
      <c r="C821" s="4" t="s">
        <v>789</v>
      </c>
      <c r="D821" s="35">
        <f t="shared" si="342"/>
        <v>208097.3</v>
      </c>
      <c r="E821" s="36">
        <v>208097.3</v>
      </c>
      <c r="F821" s="62"/>
      <c r="G821" s="36"/>
      <c r="H821" s="37"/>
      <c r="I821" s="35">
        <f t="shared" si="343"/>
        <v>0</v>
      </c>
      <c r="J821" s="36">
        <v>0</v>
      </c>
      <c r="K821" s="62"/>
      <c r="L821" s="36"/>
      <c r="M821" s="37"/>
      <c r="N821" s="35">
        <f t="shared" si="344"/>
        <v>0</v>
      </c>
      <c r="O821" s="36">
        <v>0</v>
      </c>
      <c r="P821" s="62"/>
      <c r="Q821" s="36"/>
      <c r="R821" s="37"/>
      <c r="S821" s="29" t="str">
        <f t="shared" si="337"/>
        <v xml:space="preserve"> </v>
      </c>
      <c r="T821" s="30" t="str">
        <f t="shared" si="338"/>
        <v xml:space="preserve"> </v>
      </c>
      <c r="U821" s="30" t="str">
        <f t="shared" si="339"/>
        <v xml:space="preserve"> </v>
      </c>
      <c r="V821" s="30" t="str">
        <f t="shared" si="340"/>
        <v xml:space="preserve"> </v>
      </c>
      <c r="W821" s="30" t="str">
        <f t="shared" si="340"/>
        <v xml:space="preserve"> </v>
      </c>
    </row>
    <row r="822" spans="1:23" ht="36" customHeight="1" x14ac:dyDescent="0.2">
      <c r="A822" s="84"/>
      <c r="B822" s="85"/>
      <c r="C822" s="4" t="s">
        <v>790</v>
      </c>
      <c r="D822" s="35">
        <f t="shared" si="342"/>
        <v>172529.1</v>
      </c>
      <c r="E822" s="36">
        <v>172529.1</v>
      </c>
      <c r="F822" s="62"/>
      <c r="G822" s="36"/>
      <c r="H822" s="37"/>
      <c r="I822" s="35">
        <f t="shared" si="343"/>
        <v>41928.600000000006</v>
      </c>
      <c r="J822" s="36">
        <v>41928.600000000006</v>
      </c>
      <c r="K822" s="62"/>
      <c r="L822" s="36"/>
      <c r="M822" s="37"/>
      <c r="N822" s="35">
        <f t="shared" si="344"/>
        <v>41789.300000000003</v>
      </c>
      <c r="O822" s="36">
        <v>41789.300000000003</v>
      </c>
      <c r="P822" s="62"/>
      <c r="Q822" s="36"/>
      <c r="R822" s="37"/>
      <c r="S822" s="29">
        <f t="shared" si="337"/>
        <v>0.99667768539851076</v>
      </c>
      <c r="T822" s="30">
        <f t="shared" si="338"/>
        <v>0.99667768539851076</v>
      </c>
      <c r="U822" s="30" t="str">
        <f t="shared" si="339"/>
        <v xml:space="preserve"> </v>
      </c>
      <c r="V822" s="30" t="str">
        <f t="shared" si="340"/>
        <v xml:space="preserve"> </v>
      </c>
      <c r="W822" s="30" t="str">
        <f t="shared" si="340"/>
        <v xml:space="preserve"> </v>
      </c>
    </row>
    <row r="823" spans="1:23" s="38" customFormat="1" ht="33" customHeight="1" x14ac:dyDescent="0.2">
      <c r="A823" s="82"/>
      <c r="B823" s="83"/>
      <c r="C823" s="54" t="s">
        <v>130</v>
      </c>
      <c r="D823" s="55">
        <f t="shared" si="342"/>
        <v>1302117.0999999999</v>
      </c>
      <c r="E823" s="56">
        <f>+E824+E825+E826+E827+E828</f>
        <v>1302117.0999999999</v>
      </c>
      <c r="F823" s="56">
        <f>+F824+F825+F826+F827+F828</f>
        <v>0</v>
      </c>
      <c r="G823" s="56">
        <f>+G824+G825+G826+G827+G828</f>
        <v>0</v>
      </c>
      <c r="H823" s="57">
        <f>+H824+H825+H826+H827+H828</f>
        <v>0</v>
      </c>
      <c r="I823" s="55">
        <f t="shared" si="343"/>
        <v>1004316.2000000001</v>
      </c>
      <c r="J823" s="56">
        <f>+J824+J825+J826+J827+J828</f>
        <v>1004316.2000000001</v>
      </c>
      <c r="K823" s="56">
        <f>+K824+K825+K826+K827+K828</f>
        <v>0</v>
      </c>
      <c r="L823" s="56">
        <f>+L824+L825+L826+L827+L828</f>
        <v>0</v>
      </c>
      <c r="M823" s="57">
        <f>+M824+M825+M826+M827+M828</f>
        <v>0</v>
      </c>
      <c r="N823" s="55">
        <f t="shared" si="344"/>
        <v>1002188.9299999999</v>
      </c>
      <c r="O823" s="56">
        <f>+O824+O825+O826+O827+O828</f>
        <v>1002188.9299999999</v>
      </c>
      <c r="P823" s="56">
        <f>+P824+P825+P826+P827+P828</f>
        <v>0</v>
      </c>
      <c r="Q823" s="56">
        <f>+Q824+Q825+Q826+Q827+Q828</f>
        <v>0</v>
      </c>
      <c r="R823" s="57">
        <f>+R824+R825+R826+R827+R828</f>
        <v>0</v>
      </c>
      <c r="S823" s="26">
        <f t="shared" si="337"/>
        <v>0.99788187226293856</v>
      </c>
      <c r="T823" s="27">
        <f t="shared" si="338"/>
        <v>0.99788187226293856</v>
      </c>
      <c r="U823" s="27" t="str">
        <f t="shared" si="339"/>
        <v xml:space="preserve"> </v>
      </c>
      <c r="V823" s="27" t="str">
        <f t="shared" si="340"/>
        <v xml:space="preserve"> </v>
      </c>
      <c r="W823" s="27" t="str">
        <f t="shared" si="340"/>
        <v xml:space="preserve"> </v>
      </c>
    </row>
    <row r="824" spans="1:23" ht="31.5" customHeight="1" x14ac:dyDescent="0.2">
      <c r="A824" s="84"/>
      <c r="B824" s="85"/>
      <c r="C824" s="4" t="s">
        <v>791</v>
      </c>
      <c r="D824" s="35">
        <f t="shared" si="342"/>
        <v>180993.9</v>
      </c>
      <c r="E824" s="36">
        <v>180993.9</v>
      </c>
      <c r="F824" s="62"/>
      <c r="G824" s="36"/>
      <c r="H824" s="37"/>
      <c r="I824" s="35">
        <f t="shared" si="343"/>
        <v>162889.79999999999</v>
      </c>
      <c r="J824" s="36">
        <v>162889.79999999999</v>
      </c>
      <c r="K824" s="62"/>
      <c r="L824" s="36"/>
      <c r="M824" s="37"/>
      <c r="N824" s="35">
        <f t="shared" si="344"/>
        <v>162115.6</v>
      </c>
      <c r="O824" s="36">
        <v>162115.6</v>
      </c>
      <c r="P824" s="62"/>
      <c r="Q824" s="36"/>
      <c r="R824" s="37"/>
      <c r="S824" s="29">
        <f t="shared" si="337"/>
        <v>0.99524709343372031</v>
      </c>
      <c r="T824" s="30">
        <f t="shared" si="338"/>
        <v>0.99524709343372031</v>
      </c>
      <c r="U824" s="30" t="str">
        <f t="shared" si="339"/>
        <v xml:space="preserve"> </v>
      </c>
      <c r="V824" s="30" t="str">
        <f t="shared" si="340"/>
        <v xml:space="preserve"> </v>
      </c>
      <c r="W824" s="30" t="str">
        <f t="shared" si="340"/>
        <v xml:space="preserve"> </v>
      </c>
    </row>
    <row r="825" spans="1:23" ht="39" customHeight="1" x14ac:dyDescent="0.2">
      <c r="A825" s="84"/>
      <c r="B825" s="85"/>
      <c r="C825" s="4" t="s">
        <v>111</v>
      </c>
      <c r="D825" s="35">
        <f t="shared" si="342"/>
        <v>346352.7</v>
      </c>
      <c r="E825" s="36">
        <v>346352.7</v>
      </c>
      <c r="F825" s="62"/>
      <c r="G825" s="36"/>
      <c r="H825" s="37"/>
      <c r="I825" s="35">
        <f t="shared" si="343"/>
        <v>143464.5</v>
      </c>
      <c r="J825" s="36">
        <v>143464.5</v>
      </c>
      <c r="K825" s="62"/>
      <c r="L825" s="36"/>
      <c r="M825" s="37"/>
      <c r="N825" s="35">
        <f t="shared" si="344"/>
        <v>143464.47</v>
      </c>
      <c r="O825" s="36">
        <v>143464.47</v>
      </c>
      <c r="P825" s="62"/>
      <c r="Q825" s="36"/>
      <c r="R825" s="37"/>
      <c r="S825" s="29">
        <f t="shared" si="337"/>
        <v>0.99999979088903523</v>
      </c>
      <c r="T825" s="30">
        <f t="shared" si="338"/>
        <v>0.99999979088903523</v>
      </c>
      <c r="U825" s="30" t="str">
        <f t="shared" si="339"/>
        <v xml:space="preserve"> </v>
      </c>
      <c r="V825" s="30" t="str">
        <f t="shared" si="340"/>
        <v xml:space="preserve"> </v>
      </c>
      <c r="W825" s="30" t="str">
        <f t="shared" si="340"/>
        <v xml:space="preserve"> </v>
      </c>
    </row>
    <row r="826" spans="1:23" ht="42" customHeight="1" x14ac:dyDescent="0.2">
      <c r="A826" s="84"/>
      <c r="B826" s="85"/>
      <c r="C826" s="4" t="s">
        <v>792</v>
      </c>
      <c r="D826" s="35">
        <f t="shared" si="342"/>
        <v>271426.8</v>
      </c>
      <c r="E826" s="36">
        <v>271426.8</v>
      </c>
      <c r="F826" s="62"/>
      <c r="G826" s="36"/>
      <c r="H826" s="37"/>
      <c r="I826" s="35">
        <f t="shared" si="343"/>
        <v>204005.6</v>
      </c>
      <c r="J826" s="36">
        <v>204005.6</v>
      </c>
      <c r="K826" s="62"/>
      <c r="L826" s="36"/>
      <c r="M826" s="37"/>
      <c r="N826" s="35">
        <f t="shared" si="344"/>
        <v>204005.56</v>
      </c>
      <c r="O826" s="36">
        <v>204005.56</v>
      </c>
      <c r="P826" s="62"/>
      <c r="Q826" s="36"/>
      <c r="R826" s="37"/>
      <c r="S826" s="29">
        <f t="shared" si="337"/>
        <v>0.99999980392695098</v>
      </c>
      <c r="T826" s="30">
        <f t="shared" si="338"/>
        <v>0.99999980392695098</v>
      </c>
      <c r="U826" s="30" t="str">
        <f t="shared" si="339"/>
        <v xml:space="preserve"> </v>
      </c>
      <c r="V826" s="30" t="str">
        <f t="shared" si="340"/>
        <v xml:space="preserve"> </v>
      </c>
      <c r="W826" s="30" t="str">
        <f t="shared" si="340"/>
        <v xml:space="preserve"> </v>
      </c>
    </row>
    <row r="827" spans="1:23" ht="51.75" customHeight="1" x14ac:dyDescent="0.2">
      <c r="A827" s="84"/>
      <c r="B827" s="85"/>
      <c r="C827" s="4" t="s">
        <v>112</v>
      </c>
      <c r="D827" s="35">
        <f t="shared" si="342"/>
        <v>239621.4</v>
      </c>
      <c r="E827" s="36">
        <v>239621.4</v>
      </c>
      <c r="F827" s="62"/>
      <c r="G827" s="36"/>
      <c r="H827" s="37"/>
      <c r="I827" s="35">
        <f t="shared" si="343"/>
        <v>285265.39999999997</v>
      </c>
      <c r="J827" s="36">
        <v>285265.39999999997</v>
      </c>
      <c r="K827" s="62"/>
      <c r="L827" s="36"/>
      <c r="M827" s="37"/>
      <c r="N827" s="35">
        <f t="shared" si="344"/>
        <v>284302.60000000003</v>
      </c>
      <c r="O827" s="36">
        <v>284302.60000000003</v>
      </c>
      <c r="P827" s="62"/>
      <c r="Q827" s="36"/>
      <c r="R827" s="37"/>
      <c r="S827" s="29">
        <f t="shared" si="337"/>
        <v>0.99662489737626814</v>
      </c>
      <c r="T827" s="30">
        <f t="shared" si="338"/>
        <v>0.99662489737626814</v>
      </c>
      <c r="U827" s="30" t="str">
        <f t="shared" si="339"/>
        <v xml:space="preserve"> </v>
      </c>
      <c r="V827" s="30" t="str">
        <f t="shared" si="340"/>
        <v xml:space="preserve"> </v>
      </c>
      <c r="W827" s="30" t="str">
        <f t="shared" si="340"/>
        <v xml:space="preserve"> </v>
      </c>
    </row>
    <row r="828" spans="1:23" ht="39" customHeight="1" x14ac:dyDescent="0.2">
      <c r="A828" s="84"/>
      <c r="B828" s="85"/>
      <c r="C828" s="4" t="s">
        <v>793</v>
      </c>
      <c r="D828" s="35">
        <f t="shared" si="342"/>
        <v>263722.3</v>
      </c>
      <c r="E828" s="36">
        <v>263722.3</v>
      </c>
      <c r="F828" s="62"/>
      <c r="G828" s="36"/>
      <c r="H828" s="37"/>
      <c r="I828" s="35">
        <f t="shared" si="343"/>
        <v>208690.90000000002</v>
      </c>
      <c r="J828" s="36">
        <v>208690.90000000002</v>
      </c>
      <c r="K828" s="62"/>
      <c r="L828" s="36"/>
      <c r="M828" s="37"/>
      <c r="N828" s="35">
        <f t="shared" si="344"/>
        <v>208300.7</v>
      </c>
      <c r="O828" s="36">
        <v>208300.7</v>
      </c>
      <c r="P828" s="62"/>
      <c r="Q828" s="36"/>
      <c r="R828" s="37"/>
      <c r="S828" s="29">
        <f t="shared" si="337"/>
        <v>0.99813024909088033</v>
      </c>
      <c r="T828" s="30">
        <f t="shared" si="338"/>
        <v>0.99813024909088033</v>
      </c>
      <c r="U828" s="30" t="str">
        <f t="shared" si="339"/>
        <v xml:space="preserve"> </v>
      </c>
      <c r="V828" s="30" t="str">
        <f t="shared" si="340"/>
        <v xml:space="preserve"> </v>
      </c>
      <c r="W828" s="30" t="str">
        <f t="shared" si="340"/>
        <v xml:space="preserve"> </v>
      </c>
    </row>
    <row r="829" spans="1:23" s="38" customFormat="1" ht="24" customHeight="1" x14ac:dyDescent="0.2">
      <c r="A829" s="82"/>
      <c r="B829" s="83"/>
      <c r="C829" s="54" t="s">
        <v>594</v>
      </c>
      <c r="D829" s="55">
        <f t="shared" si="342"/>
        <v>250281.1</v>
      </c>
      <c r="E829" s="56">
        <f>+E830</f>
        <v>250281.1</v>
      </c>
      <c r="F829" s="56">
        <f>+F830</f>
        <v>0</v>
      </c>
      <c r="G829" s="56">
        <f>+G830</f>
        <v>0</v>
      </c>
      <c r="H829" s="57">
        <f>+H830</f>
        <v>0</v>
      </c>
      <c r="I829" s="55">
        <f t="shared" si="343"/>
        <v>86793.7</v>
      </c>
      <c r="J829" s="56">
        <f>+J830</f>
        <v>86793.7</v>
      </c>
      <c r="K829" s="56">
        <f>+K830</f>
        <v>0</v>
      </c>
      <c r="L829" s="56">
        <f>+L830</f>
        <v>0</v>
      </c>
      <c r="M829" s="57">
        <f>+M830</f>
        <v>0</v>
      </c>
      <c r="N829" s="55">
        <f t="shared" si="344"/>
        <v>76542.740000000005</v>
      </c>
      <c r="O829" s="56">
        <f>+O830</f>
        <v>76542.740000000005</v>
      </c>
      <c r="P829" s="56">
        <f>+P830</f>
        <v>0</v>
      </c>
      <c r="Q829" s="56">
        <f>+Q830</f>
        <v>0</v>
      </c>
      <c r="R829" s="57">
        <f>+R830</f>
        <v>0</v>
      </c>
      <c r="S829" s="26">
        <f t="shared" si="337"/>
        <v>0.88189281019244492</v>
      </c>
      <c r="T829" s="27">
        <f t="shared" si="338"/>
        <v>0.88189281019244492</v>
      </c>
      <c r="U829" s="27" t="str">
        <f t="shared" si="339"/>
        <v xml:space="preserve"> </v>
      </c>
      <c r="V829" s="27" t="str">
        <f t="shared" si="340"/>
        <v xml:space="preserve"> </v>
      </c>
      <c r="W829" s="27" t="str">
        <f t="shared" si="340"/>
        <v xml:space="preserve"> </v>
      </c>
    </row>
    <row r="830" spans="1:23" ht="27.75" customHeight="1" x14ac:dyDescent="0.2">
      <c r="A830" s="84"/>
      <c r="B830" s="85"/>
      <c r="C830" s="4" t="s">
        <v>794</v>
      </c>
      <c r="D830" s="35">
        <f t="shared" si="342"/>
        <v>250281.1</v>
      </c>
      <c r="E830" s="36">
        <v>250281.1</v>
      </c>
      <c r="F830" s="62"/>
      <c r="G830" s="36"/>
      <c r="H830" s="37"/>
      <c r="I830" s="35">
        <f t="shared" si="343"/>
        <v>86793.7</v>
      </c>
      <c r="J830" s="36">
        <v>86793.7</v>
      </c>
      <c r="K830" s="62"/>
      <c r="L830" s="36"/>
      <c r="M830" s="37"/>
      <c r="N830" s="35">
        <f t="shared" si="344"/>
        <v>76542.740000000005</v>
      </c>
      <c r="O830" s="36">
        <v>76542.740000000005</v>
      </c>
      <c r="P830" s="62"/>
      <c r="Q830" s="36"/>
      <c r="R830" s="37"/>
      <c r="S830" s="29">
        <f t="shared" si="337"/>
        <v>0.88189281019244492</v>
      </c>
      <c r="T830" s="30">
        <f t="shared" si="338"/>
        <v>0.88189281019244492</v>
      </c>
      <c r="U830" s="30" t="str">
        <f t="shared" si="339"/>
        <v xml:space="preserve"> </v>
      </c>
      <c r="V830" s="30" t="str">
        <f t="shared" si="340"/>
        <v xml:space="preserve"> </v>
      </c>
      <c r="W830" s="30" t="str">
        <f t="shared" si="340"/>
        <v xml:space="preserve"> </v>
      </c>
    </row>
    <row r="831" spans="1:23" ht="28.5" customHeight="1" x14ac:dyDescent="0.2">
      <c r="A831" s="82"/>
      <c r="B831" s="83"/>
      <c r="C831" s="54" t="s">
        <v>131</v>
      </c>
      <c r="D831" s="55">
        <f t="shared" si="342"/>
        <v>1092326.3999999999</v>
      </c>
      <c r="E831" s="56">
        <f>+E832+E833+E834+E835+E836</f>
        <v>1092326.3999999999</v>
      </c>
      <c r="F831" s="56">
        <f>+F832+F833+F834+F835+F836</f>
        <v>0</v>
      </c>
      <c r="G831" s="56">
        <f>+G832+G833+G834+G835+G836</f>
        <v>0</v>
      </c>
      <c r="H831" s="57">
        <f>+H832+H833+H834+H835+H836</f>
        <v>0</v>
      </c>
      <c r="I831" s="55">
        <f t="shared" si="343"/>
        <v>424093.6</v>
      </c>
      <c r="J831" s="56">
        <f>+J832+J833+J834+J835+J836</f>
        <v>424093.6</v>
      </c>
      <c r="K831" s="56">
        <f>+K832+K833+K834+K835+K836</f>
        <v>0</v>
      </c>
      <c r="L831" s="56">
        <f>+L832+L833+L834+L835+L836</f>
        <v>0</v>
      </c>
      <c r="M831" s="57">
        <f>+M832+M833+M834+M835+M836</f>
        <v>0</v>
      </c>
      <c r="N831" s="55">
        <f t="shared" si="344"/>
        <v>421646.46</v>
      </c>
      <c r="O831" s="56">
        <f>+O832+O833+O834+O835+O836</f>
        <v>421646.46</v>
      </c>
      <c r="P831" s="56">
        <f>+P832+P833+P834+P835+P836</f>
        <v>0</v>
      </c>
      <c r="Q831" s="56">
        <f>+Q832+Q833+Q834+Q835+Q836</f>
        <v>0</v>
      </c>
      <c r="R831" s="57">
        <f>+R832+R833+R834+R835+R836</f>
        <v>0</v>
      </c>
      <c r="S831" s="29">
        <f t="shared" si="337"/>
        <v>0.99422971721336995</v>
      </c>
      <c r="T831" s="30">
        <f t="shared" si="338"/>
        <v>0.99422971721336995</v>
      </c>
      <c r="U831" s="30" t="str">
        <f t="shared" si="339"/>
        <v xml:space="preserve"> </v>
      </c>
      <c r="V831" s="30" t="str">
        <f t="shared" si="340"/>
        <v xml:space="preserve"> </v>
      </c>
      <c r="W831" s="30" t="str">
        <f t="shared" si="340"/>
        <v xml:space="preserve"> </v>
      </c>
    </row>
    <row r="832" spans="1:23" ht="48.75" customHeight="1" x14ac:dyDescent="0.2">
      <c r="A832" s="84"/>
      <c r="B832" s="85"/>
      <c r="C832" s="4" t="s">
        <v>795</v>
      </c>
      <c r="D832" s="35">
        <f t="shared" si="342"/>
        <v>210537.7</v>
      </c>
      <c r="E832" s="36">
        <v>210537.7</v>
      </c>
      <c r="F832" s="62"/>
      <c r="G832" s="36"/>
      <c r="H832" s="37"/>
      <c r="I832" s="35">
        <f t="shared" si="343"/>
        <v>99239</v>
      </c>
      <c r="J832" s="36">
        <v>99239</v>
      </c>
      <c r="K832" s="62"/>
      <c r="L832" s="36"/>
      <c r="M832" s="37"/>
      <c r="N832" s="35">
        <f t="shared" si="344"/>
        <v>97062.64</v>
      </c>
      <c r="O832" s="36">
        <v>97062.64</v>
      </c>
      <c r="P832" s="62"/>
      <c r="Q832" s="36"/>
      <c r="R832" s="37"/>
      <c r="S832" s="29">
        <f t="shared" si="337"/>
        <v>0.97806950896320999</v>
      </c>
      <c r="T832" s="30">
        <f t="shared" si="338"/>
        <v>0.97806950896320999</v>
      </c>
      <c r="U832" s="30" t="str">
        <f t="shared" si="339"/>
        <v xml:space="preserve"> </v>
      </c>
      <c r="V832" s="30" t="str">
        <f t="shared" si="340"/>
        <v xml:space="preserve"> </v>
      </c>
      <c r="W832" s="30" t="str">
        <f t="shared" si="340"/>
        <v xml:space="preserve"> </v>
      </c>
    </row>
    <row r="833" spans="1:23" ht="63.75" customHeight="1" x14ac:dyDescent="0.2">
      <c r="A833" s="84"/>
      <c r="B833" s="85"/>
      <c r="C833" s="4" t="s">
        <v>796</v>
      </c>
      <c r="D833" s="35">
        <f t="shared" si="342"/>
        <v>244660.3</v>
      </c>
      <c r="E833" s="36">
        <v>244660.3</v>
      </c>
      <c r="F833" s="62"/>
      <c r="G833" s="36"/>
      <c r="H833" s="37"/>
      <c r="I833" s="35">
        <f t="shared" si="343"/>
        <v>144660</v>
      </c>
      <c r="J833" s="36">
        <v>144660</v>
      </c>
      <c r="K833" s="62"/>
      <c r="L833" s="36"/>
      <c r="M833" s="37"/>
      <c r="N833" s="35">
        <f t="shared" si="344"/>
        <v>144550.18</v>
      </c>
      <c r="O833" s="36">
        <v>144550.18</v>
      </c>
      <c r="P833" s="62"/>
      <c r="Q833" s="36"/>
      <c r="R833" s="37"/>
      <c r="S833" s="29">
        <f t="shared" si="337"/>
        <v>0.99924084059173224</v>
      </c>
      <c r="T833" s="30">
        <f t="shared" si="338"/>
        <v>0.99924084059173224</v>
      </c>
      <c r="U833" s="30" t="str">
        <f t="shared" si="339"/>
        <v xml:space="preserve"> </v>
      </c>
      <c r="V833" s="30" t="str">
        <f t="shared" si="340"/>
        <v xml:space="preserve"> </v>
      </c>
      <c r="W833" s="30" t="str">
        <f t="shared" si="340"/>
        <v xml:space="preserve"> </v>
      </c>
    </row>
    <row r="834" spans="1:23" ht="27.75" customHeight="1" x14ac:dyDescent="0.2">
      <c r="A834" s="84"/>
      <c r="B834" s="85"/>
      <c r="C834" s="4" t="s">
        <v>797</v>
      </c>
      <c r="D834" s="35">
        <f t="shared" si="342"/>
        <v>173614.9</v>
      </c>
      <c r="E834" s="36">
        <v>173614.9</v>
      </c>
      <c r="F834" s="62"/>
      <c r="G834" s="36"/>
      <c r="H834" s="37"/>
      <c r="I834" s="35">
        <f t="shared" si="343"/>
        <v>48027</v>
      </c>
      <c r="J834" s="36">
        <v>48027</v>
      </c>
      <c r="K834" s="62"/>
      <c r="L834" s="36"/>
      <c r="M834" s="37"/>
      <c r="N834" s="35">
        <f t="shared" si="344"/>
        <v>48026.97</v>
      </c>
      <c r="O834" s="36">
        <v>48026.97</v>
      </c>
      <c r="P834" s="62"/>
      <c r="Q834" s="36"/>
      <c r="R834" s="37"/>
      <c r="S834" s="29">
        <f t="shared" si="337"/>
        <v>0.99999937535136485</v>
      </c>
      <c r="T834" s="30">
        <f t="shared" si="338"/>
        <v>0.99999937535136485</v>
      </c>
      <c r="U834" s="30" t="str">
        <f t="shared" si="339"/>
        <v xml:space="preserve"> </v>
      </c>
      <c r="V834" s="30" t="str">
        <f t="shared" si="340"/>
        <v xml:space="preserve"> </v>
      </c>
      <c r="W834" s="30" t="str">
        <f t="shared" si="340"/>
        <v xml:space="preserve"> </v>
      </c>
    </row>
    <row r="835" spans="1:23" ht="25.5" customHeight="1" x14ac:dyDescent="0.2">
      <c r="A835" s="84"/>
      <c r="B835" s="85"/>
      <c r="C835" s="4" t="s">
        <v>798</v>
      </c>
      <c r="D835" s="35">
        <f t="shared" si="342"/>
        <v>225087.5</v>
      </c>
      <c r="E835" s="36">
        <v>225087.5</v>
      </c>
      <c r="F835" s="62"/>
      <c r="G835" s="36"/>
      <c r="H835" s="37"/>
      <c r="I835" s="35">
        <f t="shared" si="343"/>
        <v>49234.1</v>
      </c>
      <c r="J835" s="36">
        <v>49234.1</v>
      </c>
      <c r="K835" s="62"/>
      <c r="L835" s="36"/>
      <c r="M835" s="37"/>
      <c r="N835" s="35">
        <f t="shared" si="344"/>
        <v>49073.17</v>
      </c>
      <c r="O835" s="36">
        <v>49073.17</v>
      </c>
      <c r="P835" s="62"/>
      <c r="Q835" s="36"/>
      <c r="R835" s="37"/>
      <c r="S835" s="29">
        <f t="shared" si="337"/>
        <v>0.99673133052091945</v>
      </c>
      <c r="T835" s="30">
        <f t="shared" si="338"/>
        <v>0.99673133052091945</v>
      </c>
      <c r="U835" s="30" t="str">
        <f t="shared" si="339"/>
        <v xml:space="preserve"> </v>
      </c>
      <c r="V835" s="30" t="str">
        <f t="shared" si="340"/>
        <v xml:space="preserve"> </v>
      </c>
      <c r="W835" s="30" t="str">
        <f t="shared" si="340"/>
        <v xml:space="preserve"> </v>
      </c>
    </row>
    <row r="836" spans="1:23" ht="44.25" customHeight="1" x14ac:dyDescent="0.2">
      <c r="A836" s="84"/>
      <c r="B836" s="85"/>
      <c r="C836" s="4" t="s">
        <v>799</v>
      </c>
      <c r="D836" s="35">
        <f t="shared" si="342"/>
        <v>238426</v>
      </c>
      <c r="E836" s="36">
        <v>238426</v>
      </c>
      <c r="F836" s="62"/>
      <c r="G836" s="36"/>
      <c r="H836" s="37"/>
      <c r="I836" s="35">
        <f t="shared" si="343"/>
        <v>82933.499999999971</v>
      </c>
      <c r="J836" s="36">
        <v>82933.499999999971</v>
      </c>
      <c r="K836" s="62"/>
      <c r="L836" s="36"/>
      <c r="M836" s="37"/>
      <c r="N836" s="35">
        <f t="shared" si="344"/>
        <v>82933.5</v>
      </c>
      <c r="O836" s="36">
        <v>82933.5</v>
      </c>
      <c r="P836" s="62"/>
      <c r="Q836" s="36"/>
      <c r="R836" s="37"/>
      <c r="S836" s="29">
        <f t="shared" si="337"/>
        <v>1.0000000000000004</v>
      </c>
      <c r="T836" s="30">
        <f t="shared" si="338"/>
        <v>1.0000000000000004</v>
      </c>
      <c r="U836" s="30" t="str">
        <f t="shared" si="339"/>
        <v xml:space="preserve"> </v>
      </c>
      <c r="V836" s="30" t="str">
        <f t="shared" si="340"/>
        <v xml:space="preserve"> </v>
      </c>
      <c r="W836" s="30" t="str">
        <f t="shared" si="340"/>
        <v xml:space="preserve"> </v>
      </c>
    </row>
    <row r="837" spans="1:23" s="38" customFormat="1" ht="25.5" customHeight="1" x14ac:dyDescent="0.2">
      <c r="A837" s="82"/>
      <c r="B837" s="83"/>
      <c r="C837" s="54" t="s">
        <v>232</v>
      </c>
      <c r="D837" s="55">
        <f t="shared" si="342"/>
        <v>4605</v>
      </c>
      <c r="E837" s="56">
        <f>+E838</f>
        <v>0</v>
      </c>
      <c r="F837" s="56">
        <f>+F838</f>
        <v>0</v>
      </c>
      <c r="G837" s="56">
        <f>+G838</f>
        <v>4605</v>
      </c>
      <c r="H837" s="57">
        <f>+H838</f>
        <v>0</v>
      </c>
      <c r="I837" s="55">
        <f t="shared" si="343"/>
        <v>3800</v>
      </c>
      <c r="J837" s="56">
        <f>+J838</f>
        <v>0</v>
      </c>
      <c r="K837" s="56">
        <f>+K838</f>
        <v>0</v>
      </c>
      <c r="L837" s="56">
        <f>+L838</f>
        <v>3800</v>
      </c>
      <c r="M837" s="57">
        <f>+M838</f>
        <v>0</v>
      </c>
      <c r="N837" s="55">
        <f t="shared" si="344"/>
        <v>3400</v>
      </c>
      <c r="O837" s="56">
        <f>+O838</f>
        <v>0</v>
      </c>
      <c r="P837" s="56">
        <f>+P838</f>
        <v>0</v>
      </c>
      <c r="Q837" s="56">
        <f>+Q838</f>
        <v>3400</v>
      </c>
      <c r="R837" s="57">
        <f>+R838</f>
        <v>0</v>
      </c>
      <c r="S837" s="26">
        <f t="shared" si="337"/>
        <v>0.89473684210526316</v>
      </c>
      <c r="T837" s="27" t="str">
        <f t="shared" si="338"/>
        <v xml:space="preserve"> </v>
      </c>
      <c r="U837" s="27" t="str">
        <f t="shared" si="339"/>
        <v xml:space="preserve"> </v>
      </c>
      <c r="V837" s="27">
        <f t="shared" si="340"/>
        <v>0.89473684210526316</v>
      </c>
      <c r="W837" s="27" t="str">
        <f t="shared" si="340"/>
        <v xml:space="preserve"> </v>
      </c>
    </row>
    <row r="838" spans="1:23" ht="35.25" customHeight="1" x14ac:dyDescent="0.2">
      <c r="A838" s="84"/>
      <c r="B838" s="85"/>
      <c r="C838" s="4" t="s">
        <v>113</v>
      </c>
      <c r="D838" s="35">
        <f t="shared" si="342"/>
        <v>4605</v>
      </c>
      <c r="E838" s="36"/>
      <c r="F838" s="62"/>
      <c r="G838" s="36">
        <v>4605</v>
      </c>
      <c r="H838" s="37"/>
      <c r="I838" s="35">
        <f t="shared" si="343"/>
        <v>3800</v>
      </c>
      <c r="J838" s="36"/>
      <c r="K838" s="62"/>
      <c r="L838" s="36">
        <v>3800</v>
      </c>
      <c r="M838" s="37"/>
      <c r="N838" s="35">
        <f t="shared" si="344"/>
        <v>3400</v>
      </c>
      <c r="O838" s="36"/>
      <c r="P838" s="62"/>
      <c r="Q838" s="36">
        <v>3400</v>
      </c>
      <c r="R838" s="37"/>
      <c r="S838" s="29">
        <f t="shared" si="337"/>
        <v>0.89473684210526316</v>
      </c>
      <c r="T838" s="30" t="str">
        <f t="shared" si="338"/>
        <v xml:space="preserve"> </v>
      </c>
      <c r="U838" s="30" t="str">
        <f t="shared" si="339"/>
        <v xml:space="preserve"> </v>
      </c>
      <c r="V838" s="30">
        <f t="shared" si="340"/>
        <v>0.89473684210526316</v>
      </c>
      <c r="W838" s="30" t="str">
        <f t="shared" si="340"/>
        <v xml:space="preserve"> </v>
      </c>
    </row>
    <row r="839" spans="1:23" ht="75" customHeight="1" x14ac:dyDescent="0.2">
      <c r="A839" s="72">
        <v>1183</v>
      </c>
      <c r="B839" s="76">
        <v>32009</v>
      </c>
      <c r="C839" s="1" t="s">
        <v>114</v>
      </c>
      <c r="D839" s="5">
        <f t="shared" si="342"/>
        <v>729902.5</v>
      </c>
      <c r="E839" s="6">
        <f>+E841+E846+E851+E854+E857</f>
        <v>0</v>
      </c>
      <c r="F839" s="6">
        <f>+F841+F846+F851+F854+F857</f>
        <v>729902.5</v>
      </c>
      <c r="G839" s="6">
        <f>+G841+G846+G851+G854+G857</f>
        <v>0</v>
      </c>
      <c r="H839" s="7">
        <f>+H841+H846+H851+H854+H857</f>
        <v>0</v>
      </c>
      <c r="I839" s="5">
        <f t="shared" si="343"/>
        <v>742512.59999999986</v>
      </c>
      <c r="J839" s="6">
        <f>+J841+J846+J851+J854+J857</f>
        <v>0</v>
      </c>
      <c r="K839" s="6">
        <f>+K841+K846+K851+K854+K857</f>
        <v>742512.59999999986</v>
      </c>
      <c r="L839" s="6">
        <f>+L841+L846+L851+L854+L857</f>
        <v>0</v>
      </c>
      <c r="M839" s="7">
        <f>+M841+M846+M851+M854+M857</f>
        <v>0</v>
      </c>
      <c r="N839" s="5">
        <f t="shared" si="344"/>
        <v>697251.54599999997</v>
      </c>
      <c r="O839" s="6">
        <f>+O841+O846+O851+O854+O857</f>
        <v>0</v>
      </c>
      <c r="P839" s="6">
        <f>+P841+P846+P851+P854+P857</f>
        <v>697251.54599999997</v>
      </c>
      <c r="Q839" s="6">
        <f>+Q841+Q846+Q851+Q854+Q857</f>
        <v>0</v>
      </c>
      <c r="R839" s="7">
        <f>+R841+R846+R851+R854+R857</f>
        <v>0</v>
      </c>
      <c r="S839" s="26">
        <f t="shared" si="337"/>
        <v>0.93904338593042069</v>
      </c>
      <c r="T839" s="27" t="str">
        <f t="shared" si="338"/>
        <v xml:space="preserve"> </v>
      </c>
      <c r="U839" s="27">
        <f t="shared" si="339"/>
        <v>0.93904338593042069</v>
      </c>
      <c r="V839" s="27" t="str">
        <f t="shared" si="340"/>
        <v xml:space="preserve"> </v>
      </c>
      <c r="W839" s="27" t="str">
        <f t="shared" si="340"/>
        <v xml:space="preserve"> </v>
      </c>
    </row>
    <row r="840" spans="1:23" ht="16.5" x14ac:dyDescent="0.2">
      <c r="A840" s="74"/>
      <c r="B840" s="75"/>
      <c r="C840" s="4" t="s">
        <v>10</v>
      </c>
      <c r="D840" s="5"/>
      <c r="E840" s="6"/>
      <c r="F840" s="6"/>
      <c r="G840" s="6"/>
      <c r="H840" s="7"/>
      <c r="I840" s="5"/>
      <c r="J840" s="6"/>
      <c r="K840" s="6"/>
      <c r="L840" s="6"/>
      <c r="M840" s="7"/>
      <c r="N840" s="5"/>
      <c r="O840" s="6"/>
      <c r="P840" s="6"/>
      <c r="Q840" s="6"/>
      <c r="R840" s="7"/>
      <c r="S840" s="29" t="str">
        <f t="shared" si="337"/>
        <v xml:space="preserve"> </v>
      </c>
      <c r="T840" s="30" t="str">
        <f t="shared" si="338"/>
        <v xml:space="preserve"> </v>
      </c>
      <c r="U840" s="30" t="str">
        <f t="shared" si="339"/>
        <v xml:space="preserve"> </v>
      </c>
      <c r="V840" s="30" t="str">
        <f t="shared" si="340"/>
        <v xml:space="preserve"> </v>
      </c>
      <c r="W840" s="30" t="str">
        <f t="shared" si="340"/>
        <v xml:space="preserve"> </v>
      </c>
    </row>
    <row r="841" spans="1:23" s="38" customFormat="1" ht="24.95" customHeight="1" x14ac:dyDescent="0.2">
      <c r="A841" s="82"/>
      <c r="B841" s="83"/>
      <c r="C841" s="54" t="s">
        <v>220</v>
      </c>
      <c r="D841" s="55">
        <f t="shared" ref="D841:D859" si="345">SUM(E841:H841)</f>
        <v>114690.6</v>
      </c>
      <c r="E841" s="56">
        <f>+E842+E843+E844+E845</f>
        <v>0</v>
      </c>
      <c r="F841" s="56">
        <f>+F842+F843+F844+F845</f>
        <v>114690.6</v>
      </c>
      <c r="G841" s="56">
        <f>+G842+G843+G844+G845</f>
        <v>0</v>
      </c>
      <c r="H841" s="57">
        <f>+H842+H843+H844+H845</f>
        <v>0</v>
      </c>
      <c r="I841" s="55">
        <f t="shared" ref="I841:I859" si="346">SUM(J841:M841)</f>
        <v>132175.20000000001</v>
      </c>
      <c r="J841" s="56">
        <f>+J842+J843+J844+J845</f>
        <v>0</v>
      </c>
      <c r="K841" s="56">
        <f>+K842+K843+K844+K845</f>
        <v>132175.20000000001</v>
      </c>
      <c r="L841" s="56">
        <f>+L842+L843+L844+L845</f>
        <v>0</v>
      </c>
      <c r="M841" s="57">
        <f>+M842+M843+M844+M845</f>
        <v>0</v>
      </c>
      <c r="N841" s="55">
        <f t="shared" ref="N841:N859" si="347">SUM(O841:R841)</f>
        <v>113162.97600000001</v>
      </c>
      <c r="O841" s="56">
        <f>+O842+O843+O844+O845</f>
        <v>0</v>
      </c>
      <c r="P841" s="56">
        <f>+P842+P843+P844+P845</f>
        <v>113162.97600000001</v>
      </c>
      <c r="Q841" s="56">
        <f>+Q842+Q843+Q844+Q845</f>
        <v>0</v>
      </c>
      <c r="R841" s="57">
        <f>+R842+R843+R844+R845</f>
        <v>0</v>
      </c>
      <c r="S841" s="26">
        <f t="shared" si="337"/>
        <v>0.85615891634739349</v>
      </c>
      <c r="T841" s="27" t="str">
        <f t="shared" si="338"/>
        <v xml:space="preserve"> </v>
      </c>
      <c r="U841" s="27">
        <f t="shared" si="339"/>
        <v>0.85615891634739349</v>
      </c>
      <c r="V841" s="27" t="str">
        <f t="shared" si="340"/>
        <v xml:space="preserve"> </v>
      </c>
      <c r="W841" s="27" t="str">
        <f t="shared" si="340"/>
        <v xml:space="preserve"> </v>
      </c>
    </row>
    <row r="842" spans="1:23" ht="43.5" customHeight="1" x14ac:dyDescent="0.2">
      <c r="A842" s="84"/>
      <c r="B842" s="85"/>
      <c r="C842" s="4" t="s">
        <v>115</v>
      </c>
      <c r="D842" s="35">
        <f t="shared" si="345"/>
        <v>114690.6</v>
      </c>
      <c r="E842" s="36"/>
      <c r="F842" s="36">
        <v>114690.6</v>
      </c>
      <c r="G842" s="36"/>
      <c r="H842" s="37"/>
      <c r="I842" s="35">
        <f t="shared" si="346"/>
        <v>69591.600000000006</v>
      </c>
      <c r="J842" s="36"/>
      <c r="K842" s="62">
        <v>69591.600000000006</v>
      </c>
      <c r="L842" s="36"/>
      <c r="M842" s="37"/>
      <c r="N842" s="35">
        <f t="shared" si="347"/>
        <v>50710.953000000009</v>
      </c>
      <c r="O842" s="36"/>
      <c r="P842" s="62">
        <v>50710.953000000009</v>
      </c>
      <c r="Q842" s="36"/>
      <c r="R842" s="37"/>
      <c r="S842" s="29">
        <f t="shared" si="337"/>
        <v>0.72869359233010889</v>
      </c>
      <c r="T842" s="30" t="str">
        <f t="shared" si="338"/>
        <v xml:space="preserve"> </v>
      </c>
      <c r="U842" s="30">
        <f t="shared" si="339"/>
        <v>0.72869359233010889</v>
      </c>
      <c r="V842" s="30" t="str">
        <f t="shared" si="340"/>
        <v xml:space="preserve"> </v>
      </c>
      <c r="W842" s="30" t="str">
        <f t="shared" si="340"/>
        <v xml:space="preserve"> </v>
      </c>
    </row>
    <row r="843" spans="1:23" ht="58.5" customHeight="1" x14ac:dyDescent="0.2">
      <c r="A843" s="84"/>
      <c r="B843" s="85"/>
      <c r="C843" s="4" t="s">
        <v>800</v>
      </c>
      <c r="D843" s="35">
        <f t="shared" si="345"/>
        <v>0</v>
      </c>
      <c r="E843" s="36"/>
      <c r="F843" s="36">
        <v>0</v>
      </c>
      <c r="G843" s="36"/>
      <c r="H843" s="37"/>
      <c r="I843" s="35">
        <f t="shared" si="346"/>
        <v>20874.599999999999</v>
      </c>
      <c r="J843" s="36"/>
      <c r="K843" s="62">
        <v>20874.599999999999</v>
      </c>
      <c r="L843" s="36"/>
      <c r="M843" s="37"/>
      <c r="N843" s="35">
        <f t="shared" si="347"/>
        <v>20874.538</v>
      </c>
      <c r="O843" s="36"/>
      <c r="P843" s="62">
        <v>20874.538</v>
      </c>
      <c r="Q843" s="36"/>
      <c r="R843" s="37"/>
      <c r="S843" s="29">
        <f t="shared" si="337"/>
        <v>0.99999702988320749</v>
      </c>
      <c r="T843" s="30" t="str">
        <f t="shared" si="338"/>
        <v xml:space="preserve"> </v>
      </c>
      <c r="U843" s="30">
        <f t="shared" si="339"/>
        <v>0.99999702988320749</v>
      </c>
      <c r="V843" s="30" t="str">
        <f t="shared" si="340"/>
        <v xml:space="preserve"> </v>
      </c>
      <c r="W843" s="30" t="str">
        <f t="shared" si="340"/>
        <v xml:space="preserve"> </v>
      </c>
    </row>
    <row r="844" spans="1:23" ht="51" customHeight="1" x14ac:dyDescent="0.2">
      <c r="A844" s="84"/>
      <c r="B844" s="85"/>
      <c r="C844" s="4" t="s">
        <v>801</v>
      </c>
      <c r="D844" s="35">
        <f t="shared" si="345"/>
        <v>0</v>
      </c>
      <c r="E844" s="36"/>
      <c r="F844" s="36">
        <v>0</v>
      </c>
      <c r="G844" s="36"/>
      <c r="H844" s="37"/>
      <c r="I844" s="35">
        <f t="shared" si="346"/>
        <v>20889.400000000001</v>
      </c>
      <c r="J844" s="36"/>
      <c r="K844" s="62">
        <v>20889.400000000001</v>
      </c>
      <c r="L844" s="36"/>
      <c r="M844" s="37"/>
      <c r="N844" s="35">
        <f t="shared" si="347"/>
        <v>20815.764999999999</v>
      </c>
      <c r="O844" s="36"/>
      <c r="P844" s="62">
        <v>20815.764999999999</v>
      </c>
      <c r="Q844" s="36"/>
      <c r="R844" s="37"/>
      <c r="S844" s="29">
        <f t="shared" si="337"/>
        <v>0.99647500646260778</v>
      </c>
      <c r="T844" s="30" t="str">
        <f t="shared" si="338"/>
        <v xml:space="preserve"> </v>
      </c>
      <c r="U844" s="30">
        <f t="shared" si="339"/>
        <v>0.99647500646260778</v>
      </c>
      <c r="V844" s="30" t="str">
        <f t="shared" si="340"/>
        <v xml:space="preserve"> </v>
      </c>
      <c r="W844" s="30" t="str">
        <f t="shared" si="340"/>
        <v xml:space="preserve"> </v>
      </c>
    </row>
    <row r="845" spans="1:23" ht="46.5" customHeight="1" x14ac:dyDescent="0.2">
      <c r="A845" s="84"/>
      <c r="B845" s="85"/>
      <c r="C845" s="4" t="s">
        <v>802</v>
      </c>
      <c r="D845" s="35">
        <f t="shared" si="345"/>
        <v>0</v>
      </c>
      <c r="E845" s="36"/>
      <c r="F845" s="36">
        <v>0</v>
      </c>
      <c r="G845" s="36"/>
      <c r="H845" s="37"/>
      <c r="I845" s="35">
        <f t="shared" si="346"/>
        <v>20819.599999999999</v>
      </c>
      <c r="J845" s="36"/>
      <c r="K845" s="62">
        <v>20819.599999999999</v>
      </c>
      <c r="L845" s="36"/>
      <c r="M845" s="37"/>
      <c r="N845" s="35">
        <f t="shared" si="347"/>
        <v>20761.719999999998</v>
      </c>
      <c r="O845" s="36"/>
      <c r="P845" s="62">
        <v>20761.719999999998</v>
      </c>
      <c r="Q845" s="36"/>
      <c r="R845" s="37"/>
      <c r="S845" s="29">
        <f t="shared" si="337"/>
        <v>0.9972199273761263</v>
      </c>
      <c r="T845" s="30" t="str">
        <f t="shared" si="338"/>
        <v xml:space="preserve"> </v>
      </c>
      <c r="U845" s="30">
        <f t="shared" si="339"/>
        <v>0.9972199273761263</v>
      </c>
      <c r="V845" s="30" t="str">
        <f t="shared" si="340"/>
        <v xml:space="preserve"> </v>
      </c>
      <c r="W845" s="30" t="str">
        <f t="shared" si="340"/>
        <v xml:space="preserve"> </v>
      </c>
    </row>
    <row r="846" spans="1:23" s="38" customFormat="1" ht="24.95" customHeight="1" x14ac:dyDescent="0.2">
      <c r="A846" s="82"/>
      <c r="B846" s="83"/>
      <c r="C846" s="54" t="s">
        <v>130</v>
      </c>
      <c r="D846" s="55">
        <f t="shared" si="345"/>
        <v>114585.8</v>
      </c>
      <c r="E846" s="56">
        <f>+E847+E848+E849+E850</f>
        <v>0</v>
      </c>
      <c r="F846" s="56">
        <f>+F847+F848+F849+F850</f>
        <v>114585.8</v>
      </c>
      <c r="G846" s="56">
        <f>+G847+G848+G849+G850</f>
        <v>0</v>
      </c>
      <c r="H846" s="57">
        <f>+H847+H848+H849+H850</f>
        <v>0</v>
      </c>
      <c r="I846" s="55">
        <f t="shared" si="346"/>
        <v>394170</v>
      </c>
      <c r="J846" s="56">
        <f>+J847+J848+J849+J850</f>
        <v>0</v>
      </c>
      <c r="K846" s="56">
        <f>+K847+K848+K849+K850</f>
        <v>394170</v>
      </c>
      <c r="L846" s="56">
        <f>+L847+L848+L849+L850</f>
        <v>0</v>
      </c>
      <c r="M846" s="57">
        <f>+M847+M848+M849+M850</f>
        <v>0</v>
      </c>
      <c r="N846" s="55">
        <f t="shared" si="347"/>
        <v>392695.60200000001</v>
      </c>
      <c r="O846" s="56">
        <f>+O847+O848+O849+O850</f>
        <v>0</v>
      </c>
      <c r="P846" s="56">
        <f>+P847+P848+P849+P850</f>
        <v>392695.60200000001</v>
      </c>
      <c r="Q846" s="56">
        <f>+Q847+Q848+Q849+Q850</f>
        <v>0</v>
      </c>
      <c r="R846" s="57">
        <f>+R847+R848+R849+R850</f>
        <v>0</v>
      </c>
      <c r="S846" s="26">
        <f t="shared" si="337"/>
        <v>0.99625948702336564</v>
      </c>
      <c r="T846" s="27" t="str">
        <f t="shared" si="338"/>
        <v xml:space="preserve"> </v>
      </c>
      <c r="U846" s="27">
        <f t="shared" si="339"/>
        <v>0.99625948702336564</v>
      </c>
      <c r="V846" s="27" t="str">
        <f t="shared" si="340"/>
        <v xml:space="preserve"> </v>
      </c>
      <c r="W846" s="27" t="str">
        <f t="shared" si="340"/>
        <v xml:space="preserve"> </v>
      </c>
    </row>
    <row r="847" spans="1:23" ht="49.5" customHeight="1" x14ac:dyDescent="0.2">
      <c r="A847" s="84"/>
      <c r="B847" s="85"/>
      <c r="C847" s="4" t="s">
        <v>803</v>
      </c>
      <c r="D847" s="35">
        <f t="shared" si="345"/>
        <v>114585.8</v>
      </c>
      <c r="E847" s="36"/>
      <c r="F847" s="36">
        <v>114585.8</v>
      </c>
      <c r="G847" s="36"/>
      <c r="H847" s="37"/>
      <c r="I847" s="35">
        <f t="shared" si="346"/>
        <v>106091.09999999999</v>
      </c>
      <c r="J847" s="36"/>
      <c r="K847" s="62">
        <v>106091.09999999999</v>
      </c>
      <c r="L847" s="36"/>
      <c r="M847" s="37"/>
      <c r="N847" s="35">
        <f t="shared" si="347"/>
        <v>106030.11200000001</v>
      </c>
      <c r="O847" s="36"/>
      <c r="P847" s="62">
        <v>106030.11200000001</v>
      </c>
      <c r="Q847" s="36"/>
      <c r="R847" s="37"/>
      <c r="S847" s="29">
        <f t="shared" si="337"/>
        <v>0.99942513556745116</v>
      </c>
      <c r="T847" s="30" t="str">
        <f t="shared" si="338"/>
        <v xml:space="preserve"> </v>
      </c>
      <c r="U847" s="30">
        <f t="shared" si="339"/>
        <v>0.99942513556745116</v>
      </c>
      <c r="V847" s="30" t="str">
        <f t="shared" si="340"/>
        <v xml:space="preserve"> </v>
      </c>
      <c r="W847" s="30" t="str">
        <f t="shared" si="340"/>
        <v xml:space="preserve"> </v>
      </c>
    </row>
    <row r="848" spans="1:23" ht="46.5" customHeight="1" x14ac:dyDescent="0.2">
      <c r="A848" s="84"/>
      <c r="B848" s="85"/>
      <c r="C848" s="4" t="s">
        <v>804</v>
      </c>
      <c r="D848" s="35">
        <f t="shared" si="345"/>
        <v>0</v>
      </c>
      <c r="E848" s="36"/>
      <c r="F848" s="36">
        <v>0</v>
      </c>
      <c r="G848" s="36"/>
      <c r="H848" s="37"/>
      <c r="I848" s="35">
        <f t="shared" si="346"/>
        <v>81792.899999999994</v>
      </c>
      <c r="J848" s="36"/>
      <c r="K848" s="62">
        <v>81792.899999999994</v>
      </c>
      <c r="L848" s="36"/>
      <c r="M848" s="37"/>
      <c r="N848" s="35">
        <f t="shared" si="347"/>
        <v>81514.834000000003</v>
      </c>
      <c r="O848" s="36"/>
      <c r="P848" s="62">
        <v>81514.834000000003</v>
      </c>
      <c r="Q848" s="36"/>
      <c r="R848" s="37"/>
      <c r="S848" s="29">
        <f t="shared" si="337"/>
        <v>0.9966003650683618</v>
      </c>
      <c r="T848" s="30" t="str">
        <f t="shared" si="338"/>
        <v xml:space="preserve"> </v>
      </c>
      <c r="U848" s="30">
        <f t="shared" si="339"/>
        <v>0.9966003650683618</v>
      </c>
      <c r="V848" s="30" t="str">
        <f t="shared" si="340"/>
        <v xml:space="preserve"> </v>
      </c>
      <c r="W848" s="30" t="str">
        <f t="shared" si="340"/>
        <v xml:space="preserve"> </v>
      </c>
    </row>
    <row r="849" spans="1:23" ht="40.5" customHeight="1" x14ac:dyDescent="0.2">
      <c r="A849" s="84"/>
      <c r="B849" s="85"/>
      <c r="C849" s="4" t="s">
        <v>805</v>
      </c>
      <c r="D849" s="35">
        <f t="shared" si="345"/>
        <v>0</v>
      </c>
      <c r="E849" s="36"/>
      <c r="F849" s="36">
        <v>0</v>
      </c>
      <c r="G849" s="36"/>
      <c r="H849" s="37"/>
      <c r="I849" s="35">
        <f t="shared" si="346"/>
        <v>95960.8</v>
      </c>
      <c r="J849" s="36"/>
      <c r="K849" s="62">
        <v>95960.8</v>
      </c>
      <c r="L849" s="36"/>
      <c r="M849" s="37"/>
      <c r="N849" s="35">
        <f t="shared" si="347"/>
        <v>95337.863000000012</v>
      </c>
      <c r="O849" s="36"/>
      <c r="P849" s="62">
        <v>95337.863000000012</v>
      </c>
      <c r="Q849" s="36"/>
      <c r="R849" s="37"/>
      <c r="S849" s="29">
        <f t="shared" si="337"/>
        <v>0.99350842218906066</v>
      </c>
      <c r="T849" s="30" t="str">
        <f t="shared" si="338"/>
        <v xml:space="preserve"> </v>
      </c>
      <c r="U849" s="30">
        <f t="shared" si="339"/>
        <v>0.99350842218906066</v>
      </c>
      <c r="V849" s="30" t="str">
        <f t="shared" si="340"/>
        <v xml:space="preserve"> </v>
      </c>
      <c r="W849" s="30" t="str">
        <f t="shared" si="340"/>
        <v xml:space="preserve"> </v>
      </c>
    </row>
    <row r="850" spans="1:23" ht="54" customHeight="1" x14ac:dyDescent="0.2">
      <c r="A850" s="84"/>
      <c r="B850" s="85"/>
      <c r="C850" s="4" t="s">
        <v>806</v>
      </c>
      <c r="D850" s="35">
        <f t="shared" si="345"/>
        <v>0</v>
      </c>
      <c r="E850" s="36"/>
      <c r="F850" s="36">
        <v>0</v>
      </c>
      <c r="G850" s="36"/>
      <c r="H850" s="37"/>
      <c r="I850" s="35">
        <f t="shared" si="346"/>
        <v>110325.2</v>
      </c>
      <c r="J850" s="36"/>
      <c r="K850" s="62">
        <v>110325.2</v>
      </c>
      <c r="L850" s="36"/>
      <c r="M850" s="37"/>
      <c r="N850" s="35">
        <f t="shared" si="347"/>
        <v>109812.79299999999</v>
      </c>
      <c r="O850" s="36"/>
      <c r="P850" s="62">
        <v>109812.79299999999</v>
      </c>
      <c r="Q850" s="36"/>
      <c r="R850" s="37"/>
      <c r="S850" s="29">
        <f t="shared" si="337"/>
        <v>0.99535548541946894</v>
      </c>
      <c r="T850" s="30" t="str">
        <f t="shared" si="338"/>
        <v xml:space="preserve"> </v>
      </c>
      <c r="U850" s="30">
        <f t="shared" si="339"/>
        <v>0.99535548541946894</v>
      </c>
      <c r="V850" s="30" t="str">
        <f t="shared" si="340"/>
        <v xml:space="preserve"> </v>
      </c>
      <c r="W850" s="30" t="str">
        <f t="shared" si="340"/>
        <v xml:space="preserve"> </v>
      </c>
    </row>
    <row r="851" spans="1:23" s="38" customFormat="1" ht="24.95" customHeight="1" x14ac:dyDescent="0.2">
      <c r="A851" s="82"/>
      <c r="B851" s="83"/>
      <c r="C851" s="54" t="s">
        <v>594</v>
      </c>
      <c r="D851" s="55">
        <f t="shared" si="345"/>
        <v>214942.5</v>
      </c>
      <c r="E851" s="56">
        <f>+E852+E853</f>
        <v>0</v>
      </c>
      <c r="F851" s="56">
        <f>+F852+F853</f>
        <v>214942.5</v>
      </c>
      <c r="G851" s="56">
        <f>+G852+G853</f>
        <v>0</v>
      </c>
      <c r="H851" s="57">
        <f>+H852+H853</f>
        <v>0</v>
      </c>
      <c r="I851" s="55">
        <f t="shared" si="346"/>
        <v>76782.599999999977</v>
      </c>
      <c r="J851" s="56">
        <f>+J852+J853</f>
        <v>0</v>
      </c>
      <c r="K851" s="56">
        <f>+K852+K853</f>
        <v>76782.599999999977</v>
      </c>
      <c r="L851" s="56">
        <f>+L852+L853</f>
        <v>0</v>
      </c>
      <c r="M851" s="57">
        <f>+M852+M853</f>
        <v>0</v>
      </c>
      <c r="N851" s="55">
        <f t="shared" si="347"/>
        <v>75570.399999999994</v>
      </c>
      <c r="O851" s="56">
        <f>+O852+O853</f>
        <v>0</v>
      </c>
      <c r="P851" s="56">
        <f>+P852+P853</f>
        <v>75570.399999999994</v>
      </c>
      <c r="Q851" s="56">
        <f>+Q852+Q853</f>
        <v>0</v>
      </c>
      <c r="R851" s="57">
        <f>+R852+R853</f>
        <v>0</v>
      </c>
      <c r="S851" s="26">
        <f t="shared" si="337"/>
        <v>0.98421256899349618</v>
      </c>
      <c r="T851" s="27" t="str">
        <f t="shared" si="338"/>
        <v xml:space="preserve"> </v>
      </c>
      <c r="U851" s="27">
        <f t="shared" si="339"/>
        <v>0.98421256899349618</v>
      </c>
      <c r="V851" s="27" t="str">
        <f t="shared" si="340"/>
        <v xml:space="preserve"> </v>
      </c>
      <c r="W851" s="27" t="str">
        <f t="shared" si="340"/>
        <v xml:space="preserve"> </v>
      </c>
    </row>
    <row r="852" spans="1:23" ht="45" customHeight="1" x14ac:dyDescent="0.2">
      <c r="A852" s="84"/>
      <c r="B852" s="85"/>
      <c r="C852" s="4" t="s">
        <v>807</v>
      </c>
      <c r="D852" s="35">
        <f t="shared" si="345"/>
        <v>214942.5</v>
      </c>
      <c r="E852" s="36"/>
      <c r="F852" s="62">
        <v>214942.5</v>
      </c>
      <c r="G852" s="36"/>
      <c r="H852" s="37"/>
      <c r="I852" s="35">
        <f t="shared" si="346"/>
        <v>51212.199999999983</v>
      </c>
      <c r="J852" s="36"/>
      <c r="K852" s="62">
        <v>51212.199999999983</v>
      </c>
      <c r="L852" s="36"/>
      <c r="M852" s="37"/>
      <c r="N852" s="35">
        <f t="shared" si="347"/>
        <v>50000</v>
      </c>
      <c r="O852" s="36"/>
      <c r="P852" s="62">
        <v>50000</v>
      </c>
      <c r="Q852" s="36"/>
      <c r="R852" s="37"/>
      <c r="S852" s="29">
        <f t="shared" si="337"/>
        <v>0.97632985890080914</v>
      </c>
      <c r="T852" s="30" t="str">
        <f t="shared" si="338"/>
        <v xml:space="preserve"> </v>
      </c>
      <c r="U852" s="30">
        <f t="shared" si="339"/>
        <v>0.97632985890080914</v>
      </c>
      <c r="V852" s="30" t="str">
        <f t="shared" si="340"/>
        <v xml:space="preserve"> </v>
      </c>
      <c r="W852" s="30" t="str">
        <f t="shared" si="340"/>
        <v xml:space="preserve"> </v>
      </c>
    </row>
    <row r="853" spans="1:23" ht="42.75" customHeight="1" x14ac:dyDescent="0.2">
      <c r="A853" s="84"/>
      <c r="B853" s="85"/>
      <c r="C853" s="4" t="s">
        <v>808</v>
      </c>
      <c r="D853" s="35">
        <f t="shared" si="345"/>
        <v>0</v>
      </c>
      <c r="E853" s="36"/>
      <c r="F853" s="62">
        <v>0</v>
      </c>
      <c r="G853" s="36"/>
      <c r="H853" s="37"/>
      <c r="I853" s="35">
        <f t="shared" si="346"/>
        <v>25570.399999999998</v>
      </c>
      <c r="J853" s="36"/>
      <c r="K853" s="62">
        <v>25570.399999999998</v>
      </c>
      <c r="L853" s="36"/>
      <c r="M853" s="37"/>
      <c r="N853" s="35">
        <f t="shared" si="347"/>
        <v>25570.399999999998</v>
      </c>
      <c r="O853" s="36"/>
      <c r="P853" s="62">
        <v>25570.399999999998</v>
      </c>
      <c r="Q853" s="36"/>
      <c r="R853" s="37"/>
      <c r="S853" s="29">
        <f t="shared" si="337"/>
        <v>1</v>
      </c>
      <c r="T853" s="30" t="str">
        <f t="shared" si="338"/>
        <v xml:space="preserve"> </v>
      </c>
      <c r="U853" s="30">
        <f t="shared" si="339"/>
        <v>1</v>
      </c>
      <c r="V853" s="30" t="str">
        <f t="shared" si="340"/>
        <v xml:space="preserve"> </v>
      </c>
      <c r="W853" s="30" t="str">
        <f t="shared" si="340"/>
        <v xml:space="preserve"> </v>
      </c>
    </row>
    <row r="854" spans="1:23" s="38" customFormat="1" ht="24.95" customHeight="1" x14ac:dyDescent="0.2">
      <c r="A854" s="82"/>
      <c r="B854" s="83"/>
      <c r="C854" s="54" t="s">
        <v>131</v>
      </c>
      <c r="D854" s="55">
        <f t="shared" si="345"/>
        <v>83041.600000000006</v>
      </c>
      <c r="E854" s="56">
        <f>+E855+E856</f>
        <v>0</v>
      </c>
      <c r="F854" s="56">
        <f>+F855+F856</f>
        <v>83041.600000000006</v>
      </c>
      <c r="G854" s="56">
        <f>+G855+G856</f>
        <v>0</v>
      </c>
      <c r="H854" s="57">
        <f>+H855+H856</f>
        <v>0</v>
      </c>
      <c r="I854" s="55">
        <f t="shared" si="346"/>
        <v>98471.599999999991</v>
      </c>
      <c r="J854" s="56">
        <f>+J855+J856</f>
        <v>0</v>
      </c>
      <c r="K854" s="56">
        <f>+K855+K856</f>
        <v>98471.599999999991</v>
      </c>
      <c r="L854" s="56">
        <f>+L855+L856</f>
        <v>0</v>
      </c>
      <c r="M854" s="57">
        <f>+M855+M856</f>
        <v>0</v>
      </c>
      <c r="N854" s="55">
        <f t="shared" si="347"/>
        <v>74909.368000000002</v>
      </c>
      <c r="O854" s="56">
        <f>+O855+O856</f>
        <v>0</v>
      </c>
      <c r="P854" s="56">
        <f>+P855+P856</f>
        <v>74909.368000000002</v>
      </c>
      <c r="Q854" s="56">
        <f>+Q855+Q856</f>
        <v>0</v>
      </c>
      <c r="R854" s="57">
        <f>+R855+R856</f>
        <v>0</v>
      </c>
      <c r="S854" s="26">
        <f t="shared" si="337"/>
        <v>0.76072053262057293</v>
      </c>
      <c r="T854" s="27" t="str">
        <f t="shared" si="338"/>
        <v xml:space="preserve"> </v>
      </c>
      <c r="U854" s="27">
        <f t="shared" si="339"/>
        <v>0.76072053262057293</v>
      </c>
      <c r="V854" s="27" t="str">
        <f t="shared" si="340"/>
        <v xml:space="preserve"> </v>
      </c>
      <c r="W854" s="27" t="str">
        <f t="shared" si="340"/>
        <v xml:space="preserve"> </v>
      </c>
    </row>
    <row r="855" spans="1:23" ht="51" customHeight="1" x14ac:dyDescent="0.2">
      <c r="A855" s="84"/>
      <c r="B855" s="85"/>
      <c r="C855" s="4" t="s">
        <v>809</v>
      </c>
      <c r="D855" s="35">
        <f t="shared" si="345"/>
        <v>83041.600000000006</v>
      </c>
      <c r="E855" s="36"/>
      <c r="F855" s="62">
        <v>83041.600000000006</v>
      </c>
      <c r="G855" s="36"/>
      <c r="H855" s="37"/>
      <c r="I855" s="35">
        <f t="shared" si="346"/>
        <v>67112.099999999991</v>
      </c>
      <c r="J855" s="36"/>
      <c r="K855" s="62">
        <v>67112.099999999991</v>
      </c>
      <c r="L855" s="36"/>
      <c r="M855" s="37"/>
      <c r="N855" s="35">
        <f t="shared" si="347"/>
        <v>44675.188000000002</v>
      </c>
      <c r="O855" s="36"/>
      <c r="P855" s="62">
        <v>44675.188000000002</v>
      </c>
      <c r="Q855" s="36"/>
      <c r="R855" s="37"/>
      <c r="S855" s="29">
        <f t="shared" ref="S855:S919" si="348">IF(I855=0," ",N855/I855)</f>
        <v>0.665680078555134</v>
      </c>
      <c r="T855" s="30" t="str">
        <f t="shared" ref="T855:T919" si="349">IF(J855=0," ",O855/J855)</f>
        <v xml:space="preserve"> </v>
      </c>
      <c r="U855" s="30">
        <f t="shared" ref="U855:U919" si="350">IF(K855=0," ",P855/K855)</f>
        <v>0.665680078555134</v>
      </c>
      <c r="V855" s="30" t="str">
        <f t="shared" ref="V855:W919" si="351">IF(L855=0," ",Q855/L855)</f>
        <v xml:space="preserve"> </v>
      </c>
      <c r="W855" s="30" t="str">
        <f t="shared" si="351"/>
        <v xml:space="preserve"> </v>
      </c>
    </row>
    <row r="856" spans="1:23" ht="51.75" customHeight="1" x14ac:dyDescent="0.2">
      <c r="A856" s="84"/>
      <c r="B856" s="85"/>
      <c r="C856" s="4" t="s">
        <v>810</v>
      </c>
      <c r="D856" s="35">
        <f t="shared" si="345"/>
        <v>0</v>
      </c>
      <c r="E856" s="36"/>
      <c r="F856" s="62">
        <v>0</v>
      </c>
      <c r="G856" s="36"/>
      <c r="H856" s="37"/>
      <c r="I856" s="35">
        <f t="shared" si="346"/>
        <v>31359.5</v>
      </c>
      <c r="J856" s="36"/>
      <c r="K856" s="62">
        <v>31359.5</v>
      </c>
      <c r="L856" s="36"/>
      <c r="M856" s="37"/>
      <c r="N856" s="35">
        <f t="shared" si="347"/>
        <v>30234.18</v>
      </c>
      <c r="O856" s="36"/>
      <c r="P856" s="62">
        <v>30234.18</v>
      </c>
      <c r="Q856" s="36"/>
      <c r="R856" s="37"/>
      <c r="S856" s="29">
        <f t="shared" si="348"/>
        <v>0.96411549929048612</v>
      </c>
      <c r="T856" s="30" t="str">
        <f t="shared" si="349"/>
        <v xml:space="preserve"> </v>
      </c>
      <c r="U856" s="30">
        <f t="shared" si="350"/>
        <v>0.96411549929048612</v>
      </c>
      <c r="V856" s="30" t="str">
        <f t="shared" si="351"/>
        <v xml:space="preserve"> </v>
      </c>
      <c r="W856" s="30" t="str">
        <f t="shared" si="351"/>
        <v xml:space="preserve"> </v>
      </c>
    </row>
    <row r="857" spans="1:23" s="38" customFormat="1" ht="32.25" customHeight="1" x14ac:dyDescent="0.2">
      <c r="A857" s="82"/>
      <c r="B857" s="83"/>
      <c r="C857" s="54" t="s">
        <v>561</v>
      </c>
      <c r="D857" s="55">
        <f t="shared" si="345"/>
        <v>202642</v>
      </c>
      <c r="E857" s="56">
        <f>+E858</f>
        <v>0</v>
      </c>
      <c r="F857" s="56">
        <f>+F858</f>
        <v>202642</v>
      </c>
      <c r="G857" s="56">
        <f>+G858</f>
        <v>0</v>
      </c>
      <c r="H857" s="57">
        <f>+H858</f>
        <v>0</v>
      </c>
      <c r="I857" s="55">
        <f t="shared" si="346"/>
        <v>40913.200000000004</v>
      </c>
      <c r="J857" s="56">
        <f>+J858</f>
        <v>0</v>
      </c>
      <c r="K857" s="56">
        <f>+K858</f>
        <v>40913.200000000004</v>
      </c>
      <c r="L857" s="56">
        <f>+L858</f>
        <v>0</v>
      </c>
      <c r="M857" s="57">
        <f>+M858</f>
        <v>0</v>
      </c>
      <c r="N857" s="55">
        <f t="shared" si="347"/>
        <v>40913.200000000004</v>
      </c>
      <c r="O857" s="56">
        <f>+O858</f>
        <v>0</v>
      </c>
      <c r="P857" s="56">
        <f>+P858</f>
        <v>40913.200000000004</v>
      </c>
      <c r="Q857" s="56">
        <f>+Q858</f>
        <v>0</v>
      </c>
      <c r="R857" s="57">
        <f>+R858</f>
        <v>0</v>
      </c>
      <c r="S857" s="26">
        <f t="shared" si="348"/>
        <v>1</v>
      </c>
      <c r="T857" s="27" t="str">
        <f t="shared" si="349"/>
        <v xml:space="preserve"> </v>
      </c>
      <c r="U857" s="27">
        <f t="shared" si="350"/>
        <v>1</v>
      </c>
      <c r="V857" s="27" t="str">
        <f t="shared" si="351"/>
        <v xml:space="preserve"> </v>
      </c>
      <c r="W857" s="27" t="str">
        <f t="shared" si="351"/>
        <v xml:space="preserve"> </v>
      </c>
    </row>
    <row r="858" spans="1:23" ht="48.75" customHeight="1" x14ac:dyDescent="0.2">
      <c r="A858" s="84"/>
      <c r="B858" s="85"/>
      <c r="C858" s="4" t="s">
        <v>116</v>
      </c>
      <c r="D858" s="35">
        <f t="shared" si="345"/>
        <v>202642</v>
      </c>
      <c r="E858" s="36"/>
      <c r="F858" s="62">
        <v>202642</v>
      </c>
      <c r="G858" s="36"/>
      <c r="H858" s="37"/>
      <c r="I858" s="35">
        <f t="shared" si="346"/>
        <v>40913.200000000004</v>
      </c>
      <c r="J858" s="36"/>
      <c r="K858" s="62">
        <v>40913.200000000004</v>
      </c>
      <c r="L858" s="36"/>
      <c r="M858" s="37"/>
      <c r="N858" s="35">
        <f t="shared" si="347"/>
        <v>40913.200000000004</v>
      </c>
      <c r="O858" s="36"/>
      <c r="P858" s="62">
        <v>40913.200000000004</v>
      </c>
      <c r="Q858" s="36"/>
      <c r="R858" s="37"/>
      <c r="S858" s="29">
        <f t="shared" si="348"/>
        <v>1</v>
      </c>
      <c r="T858" s="30" t="str">
        <f t="shared" si="349"/>
        <v xml:space="preserve"> </v>
      </c>
      <c r="U858" s="30">
        <f t="shared" si="350"/>
        <v>1</v>
      </c>
      <c r="V858" s="30" t="str">
        <f t="shared" si="351"/>
        <v xml:space="preserve"> </v>
      </c>
      <c r="W858" s="30" t="str">
        <f t="shared" si="351"/>
        <v xml:space="preserve"> </v>
      </c>
    </row>
    <row r="859" spans="1:23" ht="51.75" customHeight="1" x14ac:dyDescent="0.2">
      <c r="A859" s="72">
        <v>1183</v>
      </c>
      <c r="B859" s="76">
        <v>32012</v>
      </c>
      <c r="C859" s="1" t="s">
        <v>811</v>
      </c>
      <c r="D859" s="5">
        <f t="shared" si="345"/>
        <v>1477455.5</v>
      </c>
      <c r="E859" s="6">
        <f>+E861+E863+E865+E867+E869+E871+E874</f>
        <v>0</v>
      </c>
      <c r="F859" s="6">
        <f>+F861+F863+F865+F867+F869+F871+F874</f>
        <v>0</v>
      </c>
      <c r="G859" s="6">
        <f>+G861+G863+G865+G867+G869+G871+G874</f>
        <v>0</v>
      </c>
      <c r="H859" s="7">
        <f>+H861+H863+H865+H867+H869+H871+H874+1477455.5</f>
        <v>1477455.5</v>
      </c>
      <c r="I859" s="5">
        <f t="shared" si="346"/>
        <v>324835.39999999997</v>
      </c>
      <c r="J859" s="6">
        <f>+J861+J863+J865+J867+J869+J871+J874</f>
        <v>0</v>
      </c>
      <c r="K859" s="6">
        <f>+K861+K863+K865+K867+K869+K871+K874</f>
        <v>0</v>
      </c>
      <c r="L859" s="6">
        <f>+L861+L863+L865+L867+L869+L871+L874</f>
        <v>0</v>
      </c>
      <c r="M859" s="7">
        <f>+M861+M863+M865+M867+M869+M871+M874</f>
        <v>324835.39999999997</v>
      </c>
      <c r="N859" s="5">
        <f t="shared" si="347"/>
        <v>237307.50367300003</v>
      </c>
      <c r="O859" s="6">
        <f>+O861+O863+O865+O867+O869+O871+O874</f>
        <v>0</v>
      </c>
      <c r="P859" s="6">
        <f>+P861+P863+P865+P867+P869+P871+P874</f>
        <v>0</v>
      </c>
      <c r="Q859" s="6">
        <f>+Q861+Q863+Q865+Q867+Q869+Q871+Q874</f>
        <v>0</v>
      </c>
      <c r="R859" s="7">
        <f>+R861+R863+R865+R867+R869+R871+R874</f>
        <v>237307.50367300003</v>
      </c>
      <c r="S859" s="26">
        <f t="shared" si="348"/>
        <v>0.7305469282996867</v>
      </c>
      <c r="T859" s="27" t="str">
        <f t="shared" si="349"/>
        <v xml:space="preserve"> </v>
      </c>
      <c r="U859" s="27" t="str">
        <f t="shared" si="350"/>
        <v xml:space="preserve"> </v>
      </c>
      <c r="V859" s="27" t="str">
        <f t="shared" si="351"/>
        <v xml:space="preserve"> </v>
      </c>
      <c r="W859" s="27">
        <f t="shared" si="351"/>
        <v>0.7305469282996867</v>
      </c>
    </row>
    <row r="860" spans="1:23" ht="16.5" x14ac:dyDescent="0.2">
      <c r="A860" s="74"/>
      <c r="B860" s="75"/>
      <c r="C860" s="4" t="s">
        <v>10</v>
      </c>
      <c r="D860" s="5"/>
      <c r="E860" s="6"/>
      <c r="F860" s="6"/>
      <c r="G860" s="6"/>
      <c r="H860" s="7"/>
      <c r="I860" s="5"/>
      <c r="J860" s="6"/>
      <c r="K860" s="6"/>
      <c r="L860" s="6"/>
      <c r="M860" s="7"/>
      <c r="N860" s="5"/>
      <c r="O860" s="6"/>
      <c r="P860" s="6"/>
      <c r="Q860" s="6"/>
      <c r="R860" s="7"/>
      <c r="S860" s="29" t="str">
        <f t="shared" si="348"/>
        <v xml:space="preserve"> </v>
      </c>
      <c r="T860" s="30" t="str">
        <f t="shared" si="349"/>
        <v xml:space="preserve"> </v>
      </c>
      <c r="U860" s="30" t="str">
        <f t="shared" si="350"/>
        <v xml:space="preserve"> </v>
      </c>
      <c r="V860" s="30" t="str">
        <f t="shared" si="351"/>
        <v xml:space="preserve"> </v>
      </c>
      <c r="W860" s="30" t="str">
        <f t="shared" si="351"/>
        <v xml:space="preserve"> </v>
      </c>
    </row>
    <row r="861" spans="1:23" s="38" customFormat="1" ht="30" customHeight="1" x14ac:dyDescent="0.2">
      <c r="A861" s="82"/>
      <c r="B861" s="83"/>
      <c r="C861" s="54" t="s">
        <v>220</v>
      </c>
      <c r="D861" s="55">
        <f t="shared" ref="D861:D875" si="352">SUM(E861:H861)</f>
        <v>0</v>
      </c>
      <c r="E861" s="56">
        <f>+E862</f>
        <v>0</v>
      </c>
      <c r="F861" s="56">
        <f>+F862</f>
        <v>0</v>
      </c>
      <c r="G861" s="56">
        <f>+G862</f>
        <v>0</v>
      </c>
      <c r="H861" s="57">
        <f>+H862</f>
        <v>0</v>
      </c>
      <c r="I861" s="55">
        <f t="shared" ref="I861:I875" si="353">SUM(J861:M861)</f>
        <v>3295</v>
      </c>
      <c r="J861" s="56">
        <f>+J862</f>
        <v>0</v>
      </c>
      <c r="K861" s="56">
        <f>+K862</f>
        <v>0</v>
      </c>
      <c r="L861" s="56">
        <f>+L862</f>
        <v>0</v>
      </c>
      <c r="M861" s="57">
        <f>+M862</f>
        <v>3295</v>
      </c>
      <c r="N861" s="55">
        <f t="shared" ref="N861:N875" si="354">SUM(O861:R861)</f>
        <v>2726.1</v>
      </c>
      <c r="O861" s="56">
        <f>+O862</f>
        <v>0</v>
      </c>
      <c r="P861" s="56">
        <f>+P862</f>
        <v>0</v>
      </c>
      <c r="Q861" s="56">
        <f>+Q862</f>
        <v>0</v>
      </c>
      <c r="R861" s="57">
        <f>+R862</f>
        <v>2726.1</v>
      </c>
      <c r="S861" s="26">
        <f t="shared" si="348"/>
        <v>0.82734446130500761</v>
      </c>
      <c r="T861" s="27" t="str">
        <f t="shared" si="349"/>
        <v xml:space="preserve"> </v>
      </c>
      <c r="U861" s="27" t="str">
        <f t="shared" si="350"/>
        <v xml:space="preserve"> </v>
      </c>
      <c r="V861" s="27" t="str">
        <f t="shared" si="351"/>
        <v xml:space="preserve"> </v>
      </c>
      <c r="W861" s="27">
        <f t="shared" si="351"/>
        <v>0.82734446130500761</v>
      </c>
    </row>
    <row r="862" spans="1:23" ht="42" customHeight="1" x14ac:dyDescent="0.2">
      <c r="A862" s="84"/>
      <c r="B862" s="85"/>
      <c r="C862" s="4" t="s">
        <v>812</v>
      </c>
      <c r="D862" s="35">
        <f t="shared" si="352"/>
        <v>0</v>
      </c>
      <c r="E862" s="36"/>
      <c r="F862" s="62"/>
      <c r="G862" s="36"/>
      <c r="H862" s="37">
        <v>0</v>
      </c>
      <c r="I862" s="35">
        <f t="shared" si="353"/>
        <v>3295</v>
      </c>
      <c r="J862" s="36"/>
      <c r="K862" s="62"/>
      <c r="L862" s="36"/>
      <c r="M862" s="37">
        <v>3295</v>
      </c>
      <c r="N862" s="35">
        <f t="shared" si="354"/>
        <v>2726.1</v>
      </c>
      <c r="O862" s="36"/>
      <c r="P862" s="62"/>
      <c r="Q862" s="36"/>
      <c r="R862" s="37">
        <v>2726.1</v>
      </c>
      <c r="S862" s="29">
        <f t="shared" si="348"/>
        <v>0.82734446130500761</v>
      </c>
      <c r="T862" s="30" t="str">
        <f t="shared" si="349"/>
        <v xml:space="preserve"> </v>
      </c>
      <c r="U862" s="30" t="str">
        <f t="shared" si="350"/>
        <v xml:space="preserve"> </v>
      </c>
      <c r="V862" s="30" t="str">
        <f t="shared" si="351"/>
        <v xml:space="preserve"> </v>
      </c>
      <c r="W862" s="30">
        <f t="shared" si="351"/>
        <v>0.82734446130500761</v>
      </c>
    </row>
    <row r="863" spans="1:23" s="38" customFormat="1" ht="27.75" customHeight="1" x14ac:dyDescent="0.2">
      <c r="A863" s="82"/>
      <c r="B863" s="83"/>
      <c r="C863" s="54" t="s">
        <v>227</v>
      </c>
      <c r="D863" s="55">
        <f t="shared" si="352"/>
        <v>0</v>
      </c>
      <c r="E863" s="56">
        <f>+E864</f>
        <v>0</v>
      </c>
      <c r="F863" s="56">
        <f>+F864</f>
        <v>0</v>
      </c>
      <c r="G863" s="56">
        <f>+G864</f>
        <v>0</v>
      </c>
      <c r="H863" s="57">
        <f>+H864</f>
        <v>0</v>
      </c>
      <c r="I863" s="55">
        <f t="shared" si="353"/>
        <v>19840.400000000001</v>
      </c>
      <c r="J863" s="56">
        <f>+J864</f>
        <v>0</v>
      </c>
      <c r="K863" s="56">
        <f>+K864</f>
        <v>0</v>
      </c>
      <c r="L863" s="56">
        <f>+L864</f>
        <v>0</v>
      </c>
      <c r="M863" s="57">
        <f>+M864</f>
        <v>19840.400000000001</v>
      </c>
      <c r="N863" s="55">
        <f t="shared" si="354"/>
        <v>18658.68261800001</v>
      </c>
      <c r="O863" s="56">
        <f>+O864</f>
        <v>0</v>
      </c>
      <c r="P863" s="56">
        <f>+P864</f>
        <v>0</v>
      </c>
      <c r="Q863" s="56">
        <f>+Q864</f>
        <v>0</v>
      </c>
      <c r="R863" s="57">
        <f>+R864</f>
        <v>18658.68261800001</v>
      </c>
      <c r="S863" s="26">
        <f t="shared" si="348"/>
        <v>0.94043883278562979</v>
      </c>
      <c r="T863" s="27" t="str">
        <f t="shared" si="349"/>
        <v xml:space="preserve"> </v>
      </c>
      <c r="U863" s="27" t="str">
        <f t="shared" si="350"/>
        <v xml:space="preserve"> </v>
      </c>
      <c r="V863" s="27" t="str">
        <f t="shared" si="351"/>
        <v xml:space="preserve"> </v>
      </c>
      <c r="W863" s="27">
        <f t="shared" si="351"/>
        <v>0.94043883278562979</v>
      </c>
    </row>
    <row r="864" spans="1:23" ht="30.75" customHeight="1" x14ac:dyDescent="0.2">
      <c r="A864" s="84"/>
      <c r="B864" s="85"/>
      <c r="C864" s="4" t="s">
        <v>752</v>
      </c>
      <c r="D864" s="35">
        <f t="shared" si="352"/>
        <v>0</v>
      </c>
      <c r="E864" s="36"/>
      <c r="F864" s="62"/>
      <c r="G864" s="36"/>
      <c r="H864" s="37">
        <v>0</v>
      </c>
      <c r="I864" s="35">
        <f t="shared" si="353"/>
        <v>19840.400000000001</v>
      </c>
      <c r="J864" s="36"/>
      <c r="K864" s="62"/>
      <c r="L864" s="36"/>
      <c r="M864" s="37">
        <v>19840.400000000001</v>
      </c>
      <c r="N864" s="35">
        <f t="shared" si="354"/>
        <v>18658.68261800001</v>
      </c>
      <c r="O864" s="36"/>
      <c r="P864" s="62"/>
      <c r="Q864" s="36"/>
      <c r="R864" s="37">
        <v>18658.68261800001</v>
      </c>
      <c r="S864" s="29">
        <f t="shared" si="348"/>
        <v>0.94043883278562979</v>
      </c>
      <c r="T864" s="30" t="str">
        <f t="shared" si="349"/>
        <v xml:space="preserve"> </v>
      </c>
      <c r="U864" s="30" t="str">
        <f t="shared" si="350"/>
        <v xml:space="preserve"> </v>
      </c>
      <c r="V864" s="30" t="str">
        <f t="shared" si="351"/>
        <v xml:space="preserve"> </v>
      </c>
      <c r="W864" s="30">
        <f t="shared" si="351"/>
        <v>0.94043883278562979</v>
      </c>
    </row>
    <row r="865" spans="1:23" s="38" customFormat="1" ht="30" customHeight="1" x14ac:dyDescent="0.2">
      <c r="A865" s="82"/>
      <c r="B865" s="83"/>
      <c r="C865" s="54" t="s">
        <v>130</v>
      </c>
      <c r="D865" s="55">
        <f t="shared" si="352"/>
        <v>0</v>
      </c>
      <c r="E865" s="56">
        <f>+E866</f>
        <v>0</v>
      </c>
      <c r="F865" s="56">
        <f>+F866</f>
        <v>0</v>
      </c>
      <c r="G865" s="56">
        <f>+G866</f>
        <v>0</v>
      </c>
      <c r="H865" s="57">
        <f>+H866</f>
        <v>0</v>
      </c>
      <c r="I865" s="55">
        <f t="shared" si="353"/>
        <v>17345.3</v>
      </c>
      <c r="J865" s="56">
        <f>+J866</f>
        <v>0</v>
      </c>
      <c r="K865" s="56">
        <f>+K866</f>
        <v>0</v>
      </c>
      <c r="L865" s="56">
        <f>+L866</f>
        <v>0</v>
      </c>
      <c r="M865" s="57">
        <f>+M866</f>
        <v>17345.3</v>
      </c>
      <c r="N865" s="55">
        <f t="shared" si="354"/>
        <v>16533.605273000005</v>
      </c>
      <c r="O865" s="56">
        <f>+O866</f>
        <v>0</v>
      </c>
      <c r="P865" s="56">
        <f>+P866</f>
        <v>0</v>
      </c>
      <c r="Q865" s="56">
        <f>+Q866</f>
        <v>0</v>
      </c>
      <c r="R865" s="57">
        <f>+R866</f>
        <v>16533.605273000005</v>
      </c>
      <c r="S865" s="26">
        <f t="shared" si="348"/>
        <v>0.95320376545807828</v>
      </c>
      <c r="T865" s="27" t="str">
        <f t="shared" si="349"/>
        <v xml:space="preserve"> </v>
      </c>
      <c r="U865" s="27" t="str">
        <f t="shared" si="350"/>
        <v xml:space="preserve"> </v>
      </c>
      <c r="V865" s="27" t="str">
        <f t="shared" si="351"/>
        <v xml:space="preserve"> </v>
      </c>
      <c r="W865" s="27">
        <f t="shared" si="351"/>
        <v>0.95320376545807828</v>
      </c>
    </row>
    <row r="866" spans="1:23" ht="30" customHeight="1" x14ac:dyDescent="0.2">
      <c r="A866" s="84"/>
      <c r="B866" s="85"/>
      <c r="C866" s="4" t="s">
        <v>754</v>
      </c>
      <c r="D866" s="35">
        <f t="shared" si="352"/>
        <v>0</v>
      </c>
      <c r="E866" s="36"/>
      <c r="F866" s="62"/>
      <c r="G866" s="36"/>
      <c r="H866" s="37">
        <v>0</v>
      </c>
      <c r="I866" s="35">
        <f t="shared" si="353"/>
        <v>17345.3</v>
      </c>
      <c r="J866" s="36"/>
      <c r="K866" s="62"/>
      <c r="L866" s="36"/>
      <c r="M866" s="37">
        <v>17345.3</v>
      </c>
      <c r="N866" s="35">
        <f t="shared" si="354"/>
        <v>16533.605273000005</v>
      </c>
      <c r="O866" s="36"/>
      <c r="P866" s="62"/>
      <c r="Q866" s="36"/>
      <c r="R866" s="37">
        <v>16533.605273000005</v>
      </c>
      <c r="S866" s="29">
        <f t="shared" si="348"/>
        <v>0.95320376545807828</v>
      </c>
      <c r="T866" s="30" t="str">
        <f t="shared" si="349"/>
        <v xml:space="preserve"> </v>
      </c>
      <c r="U866" s="30" t="str">
        <f t="shared" si="350"/>
        <v xml:space="preserve"> </v>
      </c>
      <c r="V866" s="30" t="str">
        <f t="shared" si="351"/>
        <v xml:space="preserve"> </v>
      </c>
      <c r="W866" s="30">
        <f t="shared" si="351"/>
        <v>0.95320376545807828</v>
      </c>
    </row>
    <row r="867" spans="1:23" s="38" customFormat="1" ht="30" customHeight="1" x14ac:dyDescent="0.2">
      <c r="A867" s="82"/>
      <c r="B867" s="83"/>
      <c r="C867" s="54" t="s">
        <v>594</v>
      </c>
      <c r="D867" s="55">
        <f t="shared" si="352"/>
        <v>0</v>
      </c>
      <c r="E867" s="56">
        <f>+E868</f>
        <v>0</v>
      </c>
      <c r="F867" s="56">
        <f>+F868</f>
        <v>0</v>
      </c>
      <c r="G867" s="56">
        <f>+G868</f>
        <v>0</v>
      </c>
      <c r="H867" s="57">
        <f>+H868</f>
        <v>0</v>
      </c>
      <c r="I867" s="55">
        <f t="shared" si="353"/>
        <v>209983.3</v>
      </c>
      <c r="J867" s="56">
        <f>+J868</f>
        <v>0</v>
      </c>
      <c r="K867" s="56">
        <f>+K868</f>
        <v>0</v>
      </c>
      <c r="L867" s="56">
        <f>+L868</f>
        <v>0</v>
      </c>
      <c r="M867" s="57">
        <f>+M868+163000.4</f>
        <v>209983.3</v>
      </c>
      <c r="N867" s="55">
        <f t="shared" si="354"/>
        <v>129004.54000000001</v>
      </c>
      <c r="O867" s="56">
        <f>+O868</f>
        <v>0</v>
      </c>
      <c r="P867" s="56">
        <f>+P868</f>
        <v>0</v>
      </c>
      <c r="Q867" s="56">
        <f>+Q868</f>
        <v>0</v>
      </c>
      <c r="R867" s="57">
        <f>+R868+95812.88</f>
        <v>129004.54000000001</v>
      </c>
      <c r="S867" s="26">
        <f t="shared" si="348"/>
        <v>0.61435618927790936</v>
      </c>
      <c r="T867" s="27" t="str">
        <f t="shared" si="349"/>
        <v xml:space="preserve"> </v>
      </c>
      <c r="U867" s="27" t="str">
        <f t="shared" si="350"/>
        <v xml:space="preserve"> </v>
      </c>
      <c r="V867" s="27" t="str">
        <f t="shared" si="351"/>
        <v xml:space="preserve"> </v>
      </c>
      <c r="W867" s="27">
        <f t="shared" si="351"/>
        <v>0.61435618927790936</v>
      </c>
    </row>
    <row r="868" spans="1:23" ht="47.25" customHeight="1" x14ac:dyDescent="0.2">
      <c r="A868" s="84"/>
      <c r="B868" s="85"/>
      <c r="C868" s="4" t="s">
        <v>686</v>
      </c>
      <c r="D868" s="35">
        <f t="shared" si="352"/>
        <v>0</v>
      </c>
      <c r="E868" s="36"/>
      <c r="F868" s="62"/>
      <c r="G868" s="36"/>
      <c r="H868" s="37">
        <v>0</v>
      </c>
      <c r="I868" s="35">
        <f t="shared" si="353"/>
        <v>46982.9</v>
      </c>
      <c r="J868" s="36"/>
      <c r="K868" s="62"/>
      <c r="L868" s="36"/>
      <c r="M868" s="37">
        <f>46982.9</f>
        <v>46982.9</v>
      </c>
      <c r="N868" s="35">
        <f t="shared" si="354"/>
        <v>33191.660000000003</v>
      </c>
      <c r="O868" s="36"/>
      <c r="P868" s="62"/>
      <c r="Q868" s="36"/>
      <c r="R868" s="37">
        <v>33191.660000000003</v>
      </c>
      <c r="S868" s="29">
        <f t="shared" si="348"/>
        <v>0.70646256403925689</v>
      </c>
      <c r="T868" s="30" t="str">
        <f t="shared" si="349"/>
        <v xml:space="preserve"> </v>
      </c>
      <c r="U868" s="30" t="str">
        <f t="shared" si="350"/>
        <v xml:space="preserve"> </v>
      </c>
      <c r="V868" s="30" t="str">
        <f t="shared" si="351"/>
        <v xml:space="preserve"> </v>
      </c>
      <c r="W868" s="30">
        <f t="shared" si="351"/>
        <v>0.70646256403925689</v>
      </c>
    </row>
    <row r="869" spans="1:23" s="38" customFormat="1" ht="30" customHeight="1" x14ac:dyDescent="0.2">
      <c r="A869" s="82"/>
      <c r="B869" s="83"/>
      <c r="C869" s="54" t="s">
        <v>131</v>
      </c>
      <c r="D869" s="55">
        <f t="shared" si="352"/>
        <v>0</v>
      </c>
      <c r="E869" s="56">
        <f>+E870</f>
        <v>0</v>
      </c>
      <c r="F869" s="56">
        <f>+F870</f>
        <v>0</v>
      </c>
      <c r="G869" s="56">
        <f>+G870</f>
        <v>0</v>
      </c>
      <c r="H869" s="57">
        <f>+H870</f>
        <v>0</v>
      </c>
      <c r="I869" s="55">
        <f t="shared" si="353"/>
        <v>17345.3</v>
      </c>
      <c r="J869" s="56">
        <f>+J870</f>
        <v>0</v>
      </c>
      <c r="K869" s="56">
        <f>+K870</f>
        <v>0</v>
      </c>
      <c r="L869" s="56">
        <f>+L870</f>
        <v>0</v>
      </c>
      <c r="M869" s="57">
        <f>+M870</f>
        <v>17345.3</v>
      </c>
      <c r="N869" s="55">
        <f t="shared" si="354"/>
        <v>16533.605273000005</v>
      </c>
      <c r="O869" s="56">
        <f>+O870</f>
        <v>0</v>
      </c>
      <c r="P869" s="56">
        <f>+P870</f>
        <v>0</v>
      </c>
      <c r="Q869" s="56">
        <f>+Q870</f>
        <v>0</v>
      </c>
      <c r="R869" s="57">
        <f>+R870</f>
        <v>16533.605273000005</v>
      </c>
      <c r="S869" s="26">
        <f t="shared" si="348"/>
        <v>0.95320376545807828</v>
      </c>
      <c r="T869" s="27" t="str">
        <f t="shared" si="349"/>
        <v xml:space="preserve"> </v>
      </c>
      <c r="U869" s="27" t="str">
        <f t="shared" si="350"/>
        <v xml:space="preserve"> </v>
      </c>
      <c r="V869" s="27" t="str">
        <f t="shared" si="351"/>
        <v xml:space="preserve"> </v>
      </c>
      <c r="W869" s="27">
        <f t="shared" si="351"/>
        <v>0.95320376545807828</v>
      </c>
    </row>
    <row r="870" spans="1:23" ht="30" customHeight="1" x14ac:dyDescent="0.2">
      <c r="A870" s="84"/>
      <c r="B870" s="85"/>
      <c r="C870" s="4" t="s">
        <v>759</v>
      </c>
      <c r="D870" s="35">
        <f t="shared" si="352"/>
        <v>0</v>
      </c>
      <c r="E870" s="36"/>
      <c r="F870" s="62"/>
      <c r="G870" s="36"/>
      <c r="H870" s="37">
        <v>0</v>
      </c>
      <c r="I870" s="35">
        <f t="shared" si="353"/>
        <v>17345.3</v>
      </c>
      <c r="J870" s="36"/>
      <c r="K870" s="62"/>
      <c r="L870" s="36"/>
      <c r="M870" s="37">
        <v>17345.3</v>
      </c>
      <c r="N870" s="35">
        <f t="shared" si="354"/>
        <v>16533.605273000005</v>
      </c>
      <c r="O870" s="36"/>
      <c r="P870" s="62"/>
      <c r="Q870" s="36"/>
      <c r="R870" s="37">
        <v>16533.605273000005</v>
      </c>
      <c r="S870" s="29">
        <f t="shared" si="348"/>
        <v>0.95320376545807828</v>
      </c>
      <c r="T870" s="30" t="str">
        <f t="shared" si="349"/>
        <v xml:space="preserve"> </v>
      </c>
      <c r="U870" s="30" t="str">
        <f t="shared" si="350"/>
        <v xml:space="preserve"> </v>
      </c>
      <c r="V870" s="30" t="str">
        <f t="shared" si="351"/>
        <v xml:space="preserve"> </v>
      </c>
      <c r="W870" s="30">
        <f t="shared" si="351"/>
        <v>0.95320376545807828</v>
      </c>
    </row>
    <row r="871" spans="1:23" s="38" customFormat="1" ht="30" customHeight="1" x14ac:dyDescent="0.2">
      <c r="A871" s="82"/>
      <c r="B871" s="83"/>
      <c r="C871" s="54" t="s">
        <v>230</v>
      </c>
      <c r="D871" s="55">
        <f t="shared" si="352"/>
        <v>0</v>
      </c>
      <c r="E871" s="56">
        <f>+E872+E873</f>
        <v>0</v>
      </c>
      <c r="F871" s="56">
        <f>+F872+F873</f>
        <v>0</v>
      </c>
      <c r="G871" s="56">
        <f>+G872+G873</f>
        <v>0</v>
      </c>
      <c r="H871" s="57">
        <f>+H872+H873</f>
        <v>0</v>
      </c>
      <c r="I871" s="55">
        <f t="shared" si="353"/>
        <v>39680.800000000003</v>
      </c>
      <c r="J871" s="56">
        <f>+J872+J873</f>
        <v>0</v>
      </c>
      <c r="K871" s="56">
        <f>+K872+K873</f>
        <v>0</v>
      </c>
      <c r="L871" s="56">
        <f>+L872+L873</f>
        <v>0</v>
      </c>
      <c r="M871" s="57">
        <f>+M872+M873</f>
        <v>39680.800000000003</v>
      </c>
      <c r="N871" s="55">
        <f t="shared" si="354"/>
        <v>37317.36523600002</v>
      </c>
      <c r="O871" s="56">
        <f>+O872+O873</f>
        <v>0</v>
      </c>
      <c r="P871" s="56">
        <f>+P872+P873</f>
        <v>0</v>
      </c>
      <c r="Q871" s="56">
        <f>+Q872+Q873</f>
        <v>0</v>
      </c>
      <c r="R871" s="57">
        <f>+R872+R873</f>
        <v>37317.36523600002</v>
      </c>
      <c r="S871" s="26">
        <f t="shared" si="348"/>
        <v>0.94043883278562979</v>
      </c>
      <c r="T871" s="27" t="str">
        <f t="shared" si="349"/>
        <v xml:space="preserve"> </v>
      </c>
      <c r="U871" s="27" t="str">
        <f t="shared" si="350"/>
        <v xml:space="preserve"> </v>
      </c>
      <c r="V871" s="27" t="str">
        <f t="shared" si="351"/>
        <v xml:space="preserve"> </v>
      </c>
      <c r="W871" s="27">
        <f t="shared" si="351"/>
        <v>0.94043883278562979</v>
      </c>
    </row>
    <row r="872" spans="1:23" ht="30" customHeight="1" x14ac:dyDescent="0.2">
      <c r="A872" s="84"/>
      <c r="B872" s="85"/>
      <c r="C872" s="4" t="s">
        <v>724</v>
      </c>
      <c r="D872" s="35">
        <f t="shared" si="352"/>
        <v>0</v>
      </c>
      <c r="E872" s="36"/>
      <c r="F872" s="62"/>
      <c r="G872" s="36"/>
      <c r="H872" s="37">
        <v>0</v>
      </c>
      <c r="I872" s="35">
        <f t="shared" si="353"/>
        <v>19840.400000000001</v>
      </c>
      <c r="J872" s="36"/>
      <c r="K872" s="62"/>
      <c r="L872" s="36"/>
      <c r="M872" s="37">
        <v>19840.400000000001</v>
      </c>
      <c r="N872" s="35">
        <f t="shared" si="354"/>
        <v>18658.68261800001</v>
      </c>
      <c r="O872" s="36"/>
      <c r="P872" s="62"/>
      <c r="Q872" s="36"/>
      <c r="R872" s="37">
        <v>18658.68261800001</v>
      </c>
      <c r="S872" s="29">
        <f t="shared" si="348"/>
        <v>0.94043883278562979</v>
      </c>
      <c r="T872" s="30" t="str">
        <f t="shared" si="349"/>
        <v xml:space="preserve"> </v>
      </c>
      <c r="U872" s="30" t="str">
        <f t="shared" si="350"/>
        <v xml:space="preserve"> </v>
      </c>
      <c r="V872" s="30" t="str">
        <f t="shared" si="351"/>
        <v xml:space="preserve"> </v>
      </c>
      <c r="W872" s="30">
        <f t="shared" si="351"/>
        <v>0.94043883278562979</v>
      </c>
    </row>
    <row r="873" spans="1:23" ht="38.25" customHeight="1" x14ac:dyDescent="0.2">
      <c r="A873" s="84"/>
      <c r="B873" s="85"/>
      <c r="C873" s="4" t="s">
        <v>760</v>
      </c>
      <c r="D873" s="35">
        <f t="shared" si="352"/>
        <v>0</v>
      </c>
      <c r="E873" s="36"/>
      <c r="F873" s="62"/>
      <c r="G873" s="36"/>
      <c r="H873" s="37">
        <v>0</v>
      </c>
      <c r="I873" s="35">
        <f t="shared" si="353"/>
        <v>19840.400000000001</v>
      </c>
      <c r="J873" s="36"/>
      <c r="K873" s="62"/>
      <c r="L873" s="36"/>
      <c r="M873" s="37">
        <v>19840.400000000001</v>
      </c>
      <c r="N873" s="35">
        <f t="shared" si="354"/>
        <v>18658.68261800001</v>
      </c>
      <c r="O873" s="36"/>
      <c r="P873" s="62"/>
      <c r="Q873" s="36"/>
      <c r="R873" s="37">
        <v>18658.68261800001</v>
      </c>
      <c r="S873" s="29">
        <f t="shared" si="348"/>
        <v>0.94043883278562979</v>
      </c>
      <c r="T873" s="30" t="str">
        <f t="shared" si="349"/>
        <v xml:space="preserve"> </v>
      </c>
      <c r="U873" s="30" t="str">
        <f t="shared" si="350"/>
        <v xml:space="preserve"> </v>
      </c>
      <c r="V873" s="30" t="str">
        <f t="shared" si="351"/>
        <v xml:space="preserve"> </v>
      </c>
      <c r="W873" s="30">
        <f t="shared" si="351"/>
        <v>0.94043883278562979</v>
      </c>
    </row>
    <row r="874" spans="1:23" s="38" customFormat="1" ht="30" customHeight="1" x14ac:dyDescent="0.2">
      <c r="A874" s="82"/>
      <c r="B874" s="83"/>
      <c r="C874" s="54" t="s">
        <v>561</v>
      </c>
      <c r="D874" s="55">
        <f t="shared" si="352"/>
        <v>0</v>
      </c>
      <c r="E874" s="56">
        <f>+E875</f>
        <v>0</v>
      </c>
      <c r="F874" s="56">
        <f>+F875</f>
        <v>0</v>
      </c>
      <c r="G874" s="56">
        <f>+G875</f>
        <v>0</v>
      </c>
      <c r="H874" s="57">
        <f>+H875</f>
        <v>0</v>
      </c>
      <c r="I874" s="55">
        <f t="shared" si="353"/>
        <v>17345.3</v>
      </c>
      <c r="J874" s="56">
        <f>+J875</f>
        <v>0</v>
      </c>
      <c r="K874" s="56">
        <f>+K875</f>
        <v>0</v>
      </c>
      <c r="L874" s="56">
        <f>+L875</f>
        <v>0</v>
      </c>
      <c r="M874" s="57">
        <f>+M875</f>
        <v>17345.3</v>
      </c>
      <c r="N874" s="55">
        <f t="shared" si="354"/>
        <v>16533.605273000005</v>
      </c>
      <c r="O874" s="56">
        <f>+O875</f>
        <v>0</v>
      </c>
      <c r="P874" s="56">
        <f>+P875</f>
        <v>0</v>
      </c>
      <c r="Q874" s="56">
        <f>+Q875</f>
        <v>0</v>
      </c>
      <c r="R874" s="57">
        <f>+R875</f>
        <v>16533.605273000005</v>
      </c>
      <c r="S874" s="26">
        <f t="shared" si="348"/>
        <v>0.95320376545807828</v>
      </c>
      <c r="T874" s="27" t="str">
        <f t="shared" si="349"/>
        <v xml:space="preserve"> </v>
      </c>
      <c r="U874" s="27" t="str">
        <f t="shared" si="350"/>
        <v xml:space="preserve"> </v>
      </c>
      <c r="V874" s="27" t="str">
        <f t="shared" si="351"/>
        <v xml:space="preserve"> </v>
      </c>
      <c r="W874" s="27">
        <f t="shared" si="351"/>
        <v>0.95320376545807828</v>
      </c>
    </row>
    <row r="875" spans="1:23" ht="30" customHeight="1" x14ac:dyDescent="0.2">
      <c r="A875" s="84"/>
      <c r="B875" s="85"/>
      <c r="C875" s="4" t="s">
        <v>779</v>
      </c>
      <c r="D875" s="35">
        <f t="shared" si="352"/>
        <v>0</v>
      </c>
      <c r="E875" s="36"/>
      <c r="F875" s="62"/>
      <c r="G875" s="36"/>
      <c r="H875" s="37">
        <v>0</v>
      </c>
      <c r="I875" s="35">
        <f t="shared" si="353"/>
        <v>17345.3</v>
      </c>
      <c r="J875" s="36"/>
      <c r="K875" s="62"/>
      <c r="L875" s="36"/>
      <c r="M875" s="37">
        <v>17345.3</v>
      </c>
      <c r="N875" s="35">
        <f t="shared" si="354"/>
        <v>16533.605273000005</v>
      </c>
      <c r="O875" s="36"/>
      <c r="P875" s="62"/>
      <c r="Q875" s="36"/>
      <c r="R875" s="37">
        <v>16533.605273000005</v>
      </c>
      <c r="S875" s="29">
        <f t="shared" si="348"/>
        <v>0.95320376545807828</v>
      </c>
      <c r="T875" s="30" t="str">
        <f t="shared" si="349"/>
        <v xml:space="preserve"> </v>
      </c>
      <c r="U875" s="30" t="str">
        <f t="shared" si="350"/>
        <v xml:space="preserve"> </v>
      </c>
      <c r="V875" s="30" t="str">
        <f t="shared" si="351"/>
        <v xml:space="preserve"> </v>
      </c>
      <c r="W875" s="30">
        <f t="shared" si="351"/>
        <v>0.95320376545807828</v>
      </c>
    </row>
    <row r="876" spans="1:23" s="38" customFormat="1" ht="44.25" customHeight="1" x14ac:dyDescent="0.2">
      <c r="A876" s="72"/>
      <c r="B876" s="73"/>
      <c r="C876" s="89" t="s">
        <v>18</v>
      </c>
      <c r="D876" s="5">
        <f>SUM(D878:D879)</f>
        <v>122535900.60000001</v>
      </c>
      <c r="E876" s="6">
        <f>SUM(E878:E879)</f>
        <v>106688591.2</v>
      </c>
      <c r="F876" s="6">
        <f>SUM(F878:F879)</f>
        <v>0</v>
      </c>
      <c r="G876" s="6">
        <f>SUM(G878:G879)</f>
        <v>0</v>
      </c>
      <c r="H876" s="7">
        <f>SUM(H878:H879)</f>
        <v>15847309.4</v>
      </c>
      <c r="I876" s="5">
        <f>SUM(J876:M876)</f>
        <v>237415424.73999998</v>
      </c>
      <c r="J876" s="6">
        <f>SUM(J878:J879)</f>
        <v>224452778.50999999</v>
      </c>
      <c r="K876" s="6">
        <f>SUM(K878:K879)</f>
        <v>0</v>
      </c>
      <c r="L876" s="6">
        <f>SUM(L878:L879)</f>
        <v>0</v>
      </c>
      <c r="M876" s="7">
        <f>SUM(M878:M879)</f>
        <v>12962646.23</v>
      </c>
      <c r="N876" s="5">
        <f t="shared" ref="N876" si="355">SUM(O876:R876)</f>
        <v>237362409</v>
      </c>
      <c r="O876" s="6">
        <f>SUM(O878:O879)</f>
        <v>224415422.38999999</v>
      </c>
      <c r="P876" s="6">
        <f>SUM(P878:P879)</f>
        <v>0</v>
      </c>
      <c r="Q876" s="6">
        <f>SUM(Q878:Q879)</f>
        <v>0</v>
      </c>
      <c r="R876" s="7">
        <f>SUM(R878:R879)</f>
        <v>12946986.609999999</v>
      </c>
      <c r="S876" s="26">
        <f t="shared" si="348"/>
        <v>0.99977669631171584</v>
      </c>
      <c r="T876" s="27">
        <f t="shared" si="349"/>
        <v>0.99983356802153223</v>
      </c>
      <c r="U876" s="27" t="str">
        <f t="shared" si="350"/>
        <v xml:space="preserve"> </v>
      </c>
      <c r="V876" s="27" t="str">
        <f t="shared" si="351"/>
        <v xml:space="preserve"> </v>
      </c>
      <c r="W876" s="27">
        <f t="shared" si="351"/>
        <v>0.99879194265413496</v>
      </c>
    </row>
    <row r="877" spans="1:23" ht="24" customHeight="1" x14ac:dyDescent="0.2">
      <c r="A877" s="74"/>
      <c r="B877" s="75"/>
      <c r="C877" s="4" t="s">
        <v>10</v>
      </c>
      <c r="D877" s="35"/>
      <c r="E877" s="36"/>
      <c r="F877" s="36"/>
      <c r="G877" s="36"/>
      <c r="H877" s="37"/>
      <c r="I877" s="35"/>
      <c r="J877" s="36"/>
      <c r="K877" s="36"/>
      <c r="L877" s="36"/>
      <c r="M877" s="37"/>
      <c r="N877" s="35"/>
      <c r="O877" s="36"/>
      <c r="P877" s="36"/>
      <c r="Q877" s="36"/>
      <c r="R877" s="37"/>
      <c r="S877" s="29" t="str">
        <f t="shared" si="348"/>
        <v xml:space="preserve"> </v>
      </c>
      <c r="T877" s="30" t="str">
        <f t="shared" si="349"/>
        <v xml:space="preserve"> </v>
      </c>
      <c r="U877" s="30" t="str">
        <f t="shared" si="350"/>
        <v xml:space="preserve"> </v>
      </c>
      <c r="V877" s="30" t="str">
        <f t="shared" si="351"/>
        <v xml:space="preserve"> </v>
      </c>
      <c r="W877" s="30" t="str">
        <f t="shared" si="351"/>
        <v xml:space="preserve"> </v>
      </c>
    </row>
    <row r="878" spans="1:23" ht="54" customHeight="1" x14ac:dyDescent="0.2">
      <c r="A878" s="72">
        <v>1169</v>
      </c>
      <c r="B878" s="76">
        <v>31001</v>
      </c>
      <c r="C878" s="1" t="s">
        <v>45</v>
      </c>
      <c r="D878" s="5">
        <f>SUM(E878:H878)</f>
        <v>121406100.60000001</v>
      </c>
      <c r="E878" s="6">
        <v>106688591.2</v>
      </c>
      <c r="F878" s="6">
        <v>0</v>
      </c>
      <c r="G878" s="6">
        <v>0</v>
      </c>
      <c r="H878" s="7">
        <v>14717509.4</v>
      </c>
      <c r="I878" s="5">
        <f>SUM(J878:M878)</f>
        <v>237285784.73999998</v>
      </c>
      <c r="J878" s="6">
        <v>224452778.50999999</v>
      </c>
      <c r="K878" s="6">
        <v>0</v>
      </c>
      <c r="L878" s="6">
        <v>0</v>
      </c>
      <c r="M878" s="7">
        <v>12833006.23</v>
      </c>
      <c r="N878" s="5">
        <f>SUM(O878:R878)</f>
        <v>237233625.95999998</v>
      </c>
      <c r="O878" s="6">
        <v>224415422.38999999</v>
      </c>
      <c r="P878" s="6">
        <v>0</v>
      </c>
      <c r="Q878" s="6">
        <v>0</v>
      </c>
      <c r="R878" s="7">
        <v>12818203.57</v>
      </c>
      <c r="S878" s="26">
        <f t="shared" si="348"/>
        <v>0.99978018582083561</v>
      </c>
      <c r="T878" s="27">
        <f t="shared" si="349"/>
        <v>0.99983356802153223</v>
      </c>
      <c r="U878" s="27" t="str">
        <f t="shared" si="350"/>
        <v xml:space="preserve"> </v>
      </c>
      <c r="V878" s="27" t="str">
        <f t="shared" si="351"/>
        <v xml:space="preserve"> </v>
      </c>
      <c r="W878" s="27">
        <f t="shared" si="351"/>
        <v>0.9988465165733813</v>
      </c>
    </row>
    <row r="879" spans="1:23" ht="59.25" customHeight="1" x14ac:dyDescent="0.2">
      <c r="A879" s="72">
        <v>1204</v>
      </c>
      <c r="B879" s="76">
        <v>31001</v>
      </c>
      <c r="C879" s="1" t="s">
        <v>36</v>
      </c>
      <c r="D879" s="5">
        <f>SUM(E879:H879)</f>
        <v>1129800</v>
      </c>
      <c r="E879" s="6"/>
      <c r="F879" s="6"/>
      <c r="G879" s="6"/>
      <c r="H879" s="7">
        <v>1129800</v>
      </c>
      <c r="I879" s="5">
        <f>SUM(J879:M879)</f>
        <v>129640</v>
      </c>
      <c r="J879" s="6"/>
      <c r="K879" s="6"/>
      <c r="L879" s="6"/>
      <c r="M879" s="7">
        <v>129640</v>
      </c>
      <c r="N879" s="5">
        <f>SUM(O879:R879)</f>
        <v>128783.03999999999</v>
      </c>
      <c r="O879" s="6"/>
      <c r="P879" s="6"/>
      <c r="Q879" s="6"/>
      <c r="R879" s="7">
        <v>128783.03999999999</v>
      </c>
      <c r="S879" s="26">
        <f t="shared" si="348"/>
        <v>0.99338969453872261</v>
      </c>
      <c r="T879" s="27" t="str">
        <f t="shared" si="349"/>
        <v xml:space="preserve"> </v>
      </c>
      <c r="U879" s="27" t="str">
        <f t="shared" si="350"/>
        <v xml:space="preserve"> </v>
      </c>
      <c r="V879" s="27" t="str">
        <f t="shared" si="351"/>
        <v xml:space="preserve"> </v>
      </c>
      <c r="W879" s="27">
        <f t="shared" si="351"/>
        <v>0.99338969453872261</v>
      </c>
    </row>
    <row r="880" spans="1:23" s="38" customFormat="1" ht="40.5" customHeight="1" x14ac:dyDescent="0.2">
      <c r="A880" s="72"/>
      <c r="B880" s="73"/>
      <c r="C880" s="89" t="s">
        <v>42</v>
      </c>
      <c r="D880" s="5">
        <f t="shared" ref="D880:R880" si="356">SUM(D882,D883,D886,D890,D894,D895)+D893</f>
        <v>316355.3</v>
      </c>
      <c r="E880" s="6">
        <f>SUM(E882,E883,E886,E890,E894,E895)+E893</f>
        <v>311875.59999999998</v>
      </c>
      <c r="F880" s="6">
        <f t="shared" si="356"/>
        <v>0</v>
      </c>
      <c r="G880" s="6">
        <f t="shared" si="356"/>
        <v>0</v>
      </c>
      <c r="H880" s="7">
        <f t="shared" si="356"/>
        <v>4479.7</v>
      </c>
      <c r="I880" s="5">
        <f t="shared" si="356"/>
        <v>550462</v>
      </c>
      <c r="J880" s="6">
        <f t="shared" si="356"/>
        <v>311875.59999999998</v>
      </c>
      <c r="K880" s="6">
        <f t="shared" si="356"/>
        <v>51095.4</v>
      </c>
      <c r="L880" s="6">
        <f t="shared" si="356"/>
        <v>0</v>
      </c>
      <c r="M880" s="7">
        <f t="shared" si="356"/>
        <v>187491</v>
      </c>
      <c r="N880" s="5">
        <f t="shared" si="356"/>
        <v>431387.41</v>
      </c>
      <c r="O880" s="6">
        <f t="shared" si="356"/>
        <v>254927.1</v>
      </c>
      <c r="P880" s="6">
        <f t="shared" si="356"/>
        <v>11059.08</v>
      </c>
      <c r="Q880" s="6">
        <f t="shared" si="356"/>
        <v>0</v>
      </c>
      <c r="R880" s="7">
        <f t="shared" si="356"/>
        <v>165401.23000000001</v>
      </c>
      <c r="S880" s="26">
        <f t="shared" si="348"/>
        <v>0.7836824521947019</v>
      </c>
      <c r="T880" s="27">
        <f t="shared" si="349"/>
        <v>0.81739995049308134</v>
      </c>
      <c r="U880" s="27">
        <f t="shared" si="350"/>
        <v>0.21643983607134887</v>
      </c>
      <c r="V880" s="27" t="str">
        <f t="shared" si="351"/>
        <v xml:space="preserve"> </v>
      </c>
      <c r="W880" s="27">
        <f t="shared" si="351"/>
        <v>0.88218223808076124</v>
      </c>
    </row>
    <row r="881" spans="1:23" ht="24.75" customHeight="1" x14ac:dyDescent="0.2">
      <c r="A881" s="74"/>
      <c r="B881" s="75"/>
      <c r="C881" s="4" t="s">
        <v>10</v>
      </c>
      <c r="D881" s="35"/>
      <c r="E881" s="36"/>
      <c r="F881" s="36"/>
      <c r="G881" s="36"/>
      <c r="H881" s="37"/>
      <c r="I881" s="35"/>
      <c r="J881" s="36"/>
      <c r="K881" s="36"/>
      <c r="L881" s="36"/>
      <c r="M881" s="37"/>
      <c r="N881" s="35"/>
      <c r="O881" s="36"/>
      <c r="P881" s="36"/>
      <c r="Q881" s="36"/>
      <c r="R881" s="37"/>
      <c r="S881" s="29" t="str">
        <f t="shared" si="348"/>
        <v xml:space="preserve"> </v>
      </c>
      <c r="T881" s="30" t="str">
        <f t="shared" si="349"/>
        <v xml:space="preserve"> </v>
      </c>
      <c r="U881" s="30" t="str">
        <f t="shared" si="350"/>
        <v xml:space="preserve"> </v>
      </c>
      <c r="V881" s="30" t="str">
        <f t="shared" si="351"/>
        <v xml:space="preserve"> </v>
      </c>
      <c r="W881" s="30" t="str">
        <f t="shared" si="351"/>
        <v xml:space="preserve"> </v>
      </c>
    </row>
    <row r="882" spans="1:23" ht="85.5" customHeight="1" x14ac:dyDescent="0.2">
      <c r="A882" s="72">
        <v>1032</v>
      </c>
      <c r="B882" s="76">
        <v>31001</v>
      </c>
      <c r="C882" s="1" t="s">
        <v>193</v>
      </c>
      <c r="D882" s="5">
        <f>SUM(E882:H882)</f>
        <v>0</v>
      </c>
      <c r="E882" s="6"/>
      <c r="F882" s="6"/>
      <c r="G882" s="6"/>
      <c r="H882" s="7"/>
      <c r="I882" s="5">
        <f t="shared" ref="I882:I885" si="357">SUM(J882:M882)</f>
        <v>20371.5</v>
      </c>
      <c r="J882" s="6"/>
      <c r="K882" s="6"/>
      <c r="L882" s="6"/>
      <c r="M882" s="7">
        <v>20371.5</v>
      </c>
      <c r="N882" s="5">
        <f>SUM(O882:R882)</f>
        <v>0</v>
      </c>
      <c r="O882" s="6"/>
      <c r="P882" s="6"/>
      <c r="Q882" s="6"/>
      <c r="R882" s="7"/>
      <c r="S882" s="26">
        <f t="shared" si="348"/>
        <v>0</v>
      </c>
      <c r="T882" s="27" t="str">
        <f t="shared" si="349"/>
        <v xml:space="preserve"> </v>
      </c>
      <c r="U882" s="27" t="str">
        <f t="shared" si="350"/>
        <v xml:space="preserve"> </v>
      </c>
      <c r="V882" s="27" t="str">
        <f t="shared" si="351"/>
        <v xml:space="preserve"> </v>
      </c>
      <c r="W882" s="27">
        <f t="shared" si="351"/>
        <v>0</v>
      </c>
    </row>
    <row r="883" spans="1:23" ht="75.75" customHeight="1" x14ac:dyDescent="0.2">
      <c r="A883" s="72">
        <v>1032</v>
      </c>
      <c r="B883" s="76">
        <v>31002</v>
      </c>
      <c r="C883" s="1" t="s">
        <v>194</v>
      </c>
      <c r="D883" s="5">
        <f>SUM(E883:H883)</f>
        <v>0</v>
      </c>
      <c r="E883" s="6">
        <f>SUM(E885)</f>
        <v>0</v>
      </c>
      <c r="F883" s="6">
        <f t="shared" ref="F883:H883" si="358">SUM(F885)</f>
        <v>0</v>
      </c>
      <c r="G883" s="6">
        <f t="shared" si="358"/>
        <v>0</v>
      </c>
      <c r="H883" s="7">
        <f t="shared" si="358"/>
        <v>0</v>
      </c>
      <c r="I883" s="5">
        <f>SUM(J883:M883)</f>
        <v>45521.4</v>
      </c>
      <c r="J883" s="6">
        <f>SUM(J885)</f>
        <v>0</v>
      </c>
      <c r="K883" s="6">
        <f t="shared" ref="K883" si="359">SUM(K885)</f>
        <v>45521.4</v>
      </c>
      <c r="L883" s="6">
        <f t="shared" ref="L883" si="360">SUM(L885)</f>
        <v>0</v>
      </c>
      <c r="M883" s="7">
        <f t="shared" ref="M883" si="361">SUM(M885)</f>
        <v>0</v>
      </c>
      <c r="N883" s="5">
        <f>SUM(O883:R883)</f>
        <v>11059.08</v>
      </c>
      <c r="O883" s="6">
        <f>SUM(O885)</f>
        <v>0</v>
      </c>
      <c r="P883" s="6">
        <f t="shared" ref="P883" si="362">SUM(P885)</f>
        <v>11059.08</v>
      </c>
      <c r="Q883" s="6">
        <f t="shared" ref="Q883" si="363">SUM(Q885)</f>
        <v>0</v>
      </c>
      <c r="R883" s="7">
        <f t="shared" ref="R883" si="364">SUM(R885)</f>
        <v>0</v>
      </c>
      <c r="S883" s="26">
        <f t="shared" si="348"/>
        <v>0.24294244025886724</v>
      </c>
      <c r="T883" s="27" t="str">
        <f t="shared" si="349"/>
        <v xml:space="preserve"> </v>
      </c>
      <c r="U883" s="27">
        <f t="shared" si="350"/>
        <v>0.24294244025886724</v>
      </c>
      <c r="V883" s="27" t="str">
        <f t="shared" si="351"/>
        <v xml:space="preserve"> </v>
      </c>
      <c r="W883" s="27" t="str">
        <f t="shared" si="351"/>
        <v xml:space="preserve"> </v>
      </c>
    </row>
    <row r="884" spans="1:23" ht="24" customHeight="1" x14ac:dyDescent="0.2">
      <c r="A884" s="74"/>
      <c r="B884" s="75"/>
      <c r="C884" s="4" t="s">
        <v>10</v>
      </c>
      <c r="D884" s="35"/>
      <c r="E884" s="36"/>
      <c r="F884" s="36"/>
      <c r="G884" s="36"/>
      <c r="H884" s="37"/>
      <c r="I884" s="35"/>
      <c r="J884" s="36"/>
      <c r="K884" s="36"/>
      <c r="L884" s="36"/>
      <c r="M884" s="37"/>
      <c r="N884" s="35"/>
      <c r="O884" s="36"/>
      <c r="P884" s="36"/>
      <c r="Q884" s="36"/>
      <c r="R884" s="37"/>
      <c r="S884" s="29" t="str">
        <f t="shared" si="348"/>
        <v xml:space="preserve"> </v>
      </c>
      <c r="T884" s="30" t="str">
        <f t="shared" si="349"/>
        <v xml:space="preserve"> </v>
      </c>
      <c r="U884" s="30" t="str">
        <f t="shared" si="350"/>
        <v xml:space="preserve"> </v>
      </c>
      <c r="V884" s="30" t="str">
        <f t="shared" si="351"/>
        <v xml:space="preserve"> </v>
      </c>
      <c r="W884" s="30" t="str">
        <f t="shared" si="351"/>
        <v xml:space="preserve"> </v>
      </c>
    </row>
    <row r="885" spans="1:23" ht="63.75" customHeight="1" x14ac:dyDescent="0.2">
      <c r="A885" s="74"/>
      <c r="B885" s="75"/>
      <c r="C885" s="4" t="s">
        <v>244</v>
      </c>
      <c r="D885" s="35">
        <f>SUM(E885:H885)</f>
        <v>0</v>
      </c>
      <c r="E885" s="36"/>
      <c r="F885" s="36"/>
      <c r="G885" s="36"/>
      <c r="H885" s="37"/>
      <c r="I885" s="35">
        <f t="shared" si="357"/>
        <v>45521.4</v>
      </c>
      <c r="J885" s="36"/>
      <c r="K885" s="36">
        <v>45521.4</v>
      </c>
      <c r="L885" s="36"/>
      <c r="M885" s="37"/>
      <c r="N885" s="35">
        <f>SUM(O885:R885)</f>
        <v>11059.08</v>
      </c>
      <c r="O885" s="36"/>
      <c r="P885" s="36">
        <v>11059.08</v>
      </c>
      <c r="Q885" s="36"/>
      <c r="R885" s="37"/>
      <c r="S885" s="29">
        <f t="shared" si="348"/>
        <v>0.24294244025886724</v>
      </c>
      <c r="T885" s="30" t="str">
        <f t="shared" si="349"/>
        <v xml:space="preserve"> </v>
      </c>
      <c r="U885" s="30">
        <f t="shared" si="350"/>
        <v>0.24294244025886724</v>
      </c>
      <c r="V885" s="30" t="str">
        <f t="shared" si="351"/>
        <v xml:space="preserve"> </v>
      </c>
      <c r="W885" s="30" t="str">
        <f t="shared" si="351"/>
        <v xml:space="preserve"> </v>
      </c>
    </row>
    <row r="886" spans="1:23" ht="35.25" customHeight="1" x14ac:dyDescent="0.2">
      <c r="A886" s="72">
        <v>1098</v>
      </c>
      <c r="B886" s="76">
        <v>21001</v>
      </c>
      <c r="C886" s="1" t="s">
        <v>35</v>
      </c>
      <c r="D886" s="5">
        <f>SUM(E886:H886)</f>
        <v>311875.59999999998</v>
      </c>
      <c r="E886" s="6">
        <f>SUM(E888:E889)</f>
        <v>311875.59999999998</v>
      </c>
      <c r="F886" s="6">
        <f t="shared" ref="F886:G886" si="365">SUM(F888:F889)</f>
        <v>0</v>
      </c>
      <c r="G886" s="6">
        <f t="shared" si="365"/>
        <v>0</v>
      </c>
      <c r="H886" s="7">
        <f t="shared" ref="H886" si="366">H888</f>
        <v>0</v>
      </c>
      <c r="I886" s="5">
        <f>SUM(J886:M886)</f>
        <v>311875.59999999998</v>
      </c>
      <c r="J886" s="6">
        <f>SUM(J888:J889)</f>
        <v>311875.59999999998</v>
      </c>
      <c r="K886" s="6">
        <f t="shared" ref="K886:L886" si="367">SUM(K888:K889)</f>
        <v>0</v>
      </c>
      <c r="L886" s="6">
        <f t="shared" si="367"/>
        <v>0</v>
      </c>
      <c r="M886" s="7">
        <f t="shared" ref="M886" si="368">M888</f>
        <v>0</v>
      </c>
      <c r="N886" s="5">
        <f>SUM(O886:R886)</f>
        <v>254927.1</v>
      </c>
      <c r="O886" s="6">
        <f>SUM(O888:O889)</f>
        <v>254927.1</v>
      </c>
      <c r="P886" s="6">
        <f t="shared" ref="P886:Q886" si="369">SUM(P888:P889)</f>
        <v>0</v>
      </c>
      <c r="Q886" s="6">
        <f t="shared" si="369"/>
        <v>0</v>
      </c>
      <c r="R886" s="7">
        <f t="shared" ref="R886" si="370">R888</f>
        <v>0</v>
      </c>
      <c r="S886" s="26">
        <f t="shared" si="348"/>
        <v>0.81739995049308134</v>
      </c>
      <c r="T886" s="27">
        <f t="shared" si="349"/>
        <v>0.81739995049308134</v>
      </c>
      <c r="U886" s="27" t="str">
        <f t="shared" si="350"/>
        <v xml:space="preserve"> </v>
      </c>
      <c r="V886" s="27" t="str">
        <f t="shared" si="351"/>
        <v xml:space="preserve"> </v>
      </c>
      <c r="W886" s="27" t="str">
        <f t="shared" si="351"/>
        <v xml:space="preserve"> </v>
      </c>
    </row>
    <row r="887" spans="1:23" ht="16.5" x14ac:dyDescent="0.2">
      <c r="A887" s="74"/>
      <c r="B887" s="75"/>
      <c r="C887" s="4" t="s">
        <v>10</v>
      </c>
      <c r="D887" s="35"/>
      <c r="E887" s="36"/>
      <c r="F887" s="36"/>
      <c r="G887" s="36"/>
      <c r="H887" s="37"/>
      <c r="I887" s="35"/>
      <c r="J887" s="36"/>
      <c r="K887" s="36"/>
      <c r="L887" s="36"/>
      <c r="M887" s="37"/>
      <c r="N887" s="35"/>
      <c r="O887" s="36"/>
      <c r="P887" s="36"/>
      <c r="Q887" s="36"/>
      <c r="R887" s="37"/>
      <c r="S887" s="29" t="str">
        <f t="shared" si="348"/>
        <v xml:space="preserve"> </v>
      </c>
      <c r="T887" s="30" t="str">
        <f t="shared" si="349"/>
        <v xml:space="preserve"> </v>
      </c>
      <c r="U887" s="30" t="str">
        <f t="shared" si="350"/>
        <v xml:space="preserve"> </v>
      </c>
      <c r="V887" s="30" t="str">
        <f t="shared" si="351"/>
        <v xml:space="preserve"> </v>
      </c>
      <c r="W887" s="30" t="str">
        <f t="shared" si="351"/>
        <v xml:space="preserve"> </v>
      </c>
    </row>
    <row r="888" spans="1:23" ht="46.5" customHeight="1" x14ac:dyDescent="0.2">
      <c r="A888" s="74"/>
      <c r="B888" s="75"/>
      <c r="C888" s="4" t="s">
        <v>179</v>
      </c>
      <c r="D888" s="35">
        <f>SUM(E888:H888)</f>
        <v>311875.59999999998</v>
      </c>
      <c r="E888" s="36">
        <v>311875.59999999998</v>
      </c>
      <c r="F888" s="36"/>
      <c r="G888" s="36"/>
      <c r="H888" s="37"/>
      <c r="I888" s="35">
        <f>SUM(J888:M888)</f>
        <v>163568.6</v>
      </c>
      <c r="J888" s="36">
        <v>163568.6</v>
      </c>
      <c r="K888" s="36"/>
      <c r="L888" s="36"/>
      <c r="M888" s="37"/>
      <c r="N888" s="35">
        <f>SUM(O888:R888)</f>
        <v>93421.9</v>
      </c>
      <c r="O888" s="36">
        <v>93421.9</v>
      </c>
      <c r="P888" s="36"/>
      <c r="Q888" s="36"/>
      <c r="R888" s="37"/>
      <c r="S888" s="29">
        <f t="shared" si="348"/>
        <v>0.57114812989779207</v>
      </c>
      <c r="T888" s="30">
        <f t="shared" si="349"/>
        <v>0.57114812989779207</v>
      </c>
      <c r="U888" s="30" t="str">
        <f t="shared" si="350"/>
        <v xml:space="preserve"> </v>
      </c>
      <c r="V888" s="30" t="str">
        <f t="shared" si="351"/>
        <v xml:space="preserve"> </v>
      </c>
      <c r="W888" s="30" t="str">
        <f t="shared" si="351"/>
        <v xml:space="preserve"> </v>
      </c>
    </row>
    <row r="889" spans="1:23" ht="66" customHeight="1" x14ac:dyDescent="0.2">
      <c r="A889" s="74"/>
      <c r="B889" s="75"/>
      <c r="C889" s="4" t="s">
        <v>832</v>
      </c>
      <c r="D889" s="35"/>
      <c r="E889" s="36"/>
      <c r="F889" s="36"/>
      <c r="G889" s="36"/>
      <c r="H889" s="37"/>
      <c r="I889" s="35">
        <f>SUM(J889:M889)</f>
        <v>148307</v>
      </c>
      <c r="J889" s="36">
        <v>148307</v>
      </c>
      <c r="K889" s="36"/>
      <c r="L889" s="36"/>
      <c r="M889" s="37"/>
      <c r="N889" s="35">
        <f>SUM(O889:R889)</f>
        <v>161505.20000000001</v>
      </c>
      <c r="O889" s="36">
        <v>161505.20000000001</v>
      </c>
      <c r="P889" s="36"/>
      <c r="Q889" s="36"/>
      <c r="R889" s="37"/>
      <c r="S889" s="29">
        <f t="shared" ref="S889" si="371">IF(I889=0," ",N889/I889)</f>
        <v>1.0889924278692173</v>
      </c>
      <c r="T889" s="30">
        <f t="shared" ref="T889" si="372">IF(J889=0," ",O889/J889)</f>
        <v>1.0889924278692173</v>
      </c>
      <c r="U889" s="30" t="str">
        <f t="shared" ref="U889" si="373">IF(K889=0," ",P889/K889)</f>
        <v xml:space="preserve"> </v>
      </c>
      <c r="V889" s="30" t="str">
        <f t="shared" ref="V889:W889" si="374">IF(L889=0," ",Q889/L889)</f>
        <v xml:space="preserve"> </v>
      </c>
      <c r="W889" s="30" t="str">
        <f t="shared" si="374"/>
        <v xml:space="preserve"> </v>
      </c>
    </row>
    <row r="890" spans="1:23" ht="77.25" customHeight="1" x14ac:dyDescent="0.2">
      <c r="A890" s="72">
        <v>1117</v>
      </c>
      <c r="B890" s="76">
        <v>31001</v>
      </c>
      <c r="C890" s="1" t="s">
        <v>826</v>
      </c>
      <c r="D890" s="5">
        <f>SUM(E890:H890)</f>
        <v>4479.7</v>
      </c>
      <c r="E890" s="6"/>
      <c r="F890" s="6"/>
      <c r="G890" s="6"/>
      <c r="H890" s="7">
        <v>4479.7</v>
      </c>
      <c r="I890" s="5">
        <f>SUM(J890:M890)</f>
        <v>8088.8</v>
      </c>
      <c r="J890" s="6">
        <f>J892</f>
        <v>0</v>
      </c>
      <c r="K890" s="6">
        <f t="shared" ref="K890:M890" si="375">K892</f>
        <v>0</v>
      </c>
      <c r="L890" s="6">
        <f t="shared" si="375"/>
        <v>0</v>
      </c>
      <c r="M890" s="7">
        <f t="shared" si="375"/>
        <v>8088.8</v>
      </c>
      <c r="N890" s="5">
        <f>SUM(O890:R890)</f>
        <v>7421.68</v>
      </c>
      <c r="O890" s="6"/>
      <c r="P890" s="6"/>
      <c r="Q890" s="6"/>
      <c r="R890" s="7">
        <v>7421.68</v>
      </c>
      <c r="S890" s="26">
        <f t="shared" si="348"/>
        <v>0.91752546731282758</v>
      </c>
      <c r="T890" s="27" t="str">
        <f t="shared" si="349"/>
        <v xml:space="preserve"> </v>
      </c>
      <c r="U890" s="27" t="str">
        <f t="shared" si="350"/>
        <v xml:space="preserve"> </v>
      </c>
      <c r="V890" s="27" t="str">
        <f t="shared" si="351"/>
        <v xml:space="preserve"> </v>
      </c>
      <c r="W890" s="27">
        <f t="shared" si="351"/>
        <v>0.91752546731282758</v>
      </c>
    </row>
    <row r="891" spans="1:23" ht="27" customHeight="1" x14ac:dyDescent="0.2">
      <c r="A891" s="74"/>
      <c r="B891" s="75"/>
      <c r="C891" s="4" t="s">
        <v>10</v>
      </c>
      <c r="D891" s="35"/>
      <c r="E891" s="36"/>
      <c r="F891" s="36"/>
      <c r="G891" s="36"/>
      <c r="H891" s="37"/>
      <c r="I891" s="35"/>
      <c r="J891" s="36"/>
      <c r="K891" s="36"/>
      <c r="L891" s="36"/>
      <c r="M891" s="37"/>
      <c r="N891" s="35"/>
      <c r="O891" s="36"/>
      <c r="P891" s="36"/>
      <c r="Q891" s="36"/>
      <c r="R891" s="37"/>
      <c r="S891" s="29" t="str">
        <f t="shared" si="348"/>
        <v xml:space="preserve"> </v>
      </c>
      <c r="T891" s="30" t="str">
        <f t="shared" si="349"/>
        <v xml:space="preserve"> </v>
      </c>
      <c r="U891" s="30" t="str">
        <f t="shared" si="350"/>
        <v xml:space="preserve"> </v>
      </c>
      <c r="V891" s="30" t="str">
        <f t="shared" si="351"/>
        <v xml:space="preserve"> </v>
      </c>
      <c r="W891" s="30" t="str">
        <f t="shared" si="351"/>
        <v xml:space="preserve"> </v>
      </c>
    </row>
    <row r="892" spans="1:23" ht="94.5" customHeight="1" x14ac:dyDescent="0.2">
      <c r="A892" s="74"/>
      <c r="B892" s="75"/>
      <c r="C892" s="4" t="s">
        <v>245</v>
      </c>
      <c r="D892" s="35"/>
      <c r="E892" s="36"/>
      <c r="F892" s="36"/>
      <c r="G892" s="36"/>
      <c r="H892" s="37"/>
      <c r="I892" s="35">
        <f>SUM(J892:M892)</f>
        <v>8088.8</v>
      </c>
      <c r="J892" s="36"/>
      <c r="K892" s="36"/>
      <c r="L892" s="36"/>
      <c r="M892" s="37">
        <v>8088.8</v>
      </c>
      <c r="N892" s="35">
        <f>SUM(O892:R892)</f>
        <v>7421.7</v>
      </c>
      <c r="O892" s="36"/>
      <c r="P892" s="36"/>
      <c r="Q892" s="36"/>
      <c r="R892" s="37">
        <v>7421.7</v>
      </c>
      <c r="S892" s="29">
        <f t="shared" si="348"/>
        <v>0.91752793986747105</v>
      </c>
      <c r="T892" s="30" t="str">
        <f t="shared" si="349"/>
        <v xml:space="preserve"> </v>
      </c>
      <c r="U892" s="30" t="str">
        <f t="shared" si="350"/>
        <v xml:space="preserve"> </v>
      </c>
      <c r="V892" s="30" t="str">
        <f t="shared" si="351"/>
        <v xml:space="preserve"> </v>
      </c>
      <c r="W892" s="30">
        <f t="shared" si="351"/>
        <v>0.91752793986747105</v>
      </c>
    </row>
    <row r="893" spans="1:23" ht="99" customHeight="1" x14ac:dyDescent="0.2">
      <c r="A893" s="72">
        <v>1117</v>
      </c>
      <c r="B893" s="76">
        <v>31005</v>
      </c>
      <c r="C893" s="1" t="s">
        <v>246</v>
      </c>
      <c r="D893" s="5">
        <f>SUM(E893:H893)</f>
        <v>0</v>
      </c>
      <c r="E893" s="6"/>
      <c r="F893" s="6"/>
      <c r="G893" s="6"/>
      <c r="H893" s="7"/>
      <c r="I893" s="5">
        <f>SUM(J893:M893)</f>
        <v>9000</v>
      </c>
      <c r="J893" s="6"/>
      <c r="K893" s="6"/>
      <c r="L893" s="6"/>
      <c r="M893" s="7">
        <v>9000</v>
      </c>
      <c r="N893" s="5">
        <f>SUM(O893:R893)</f>
        <v>7948.85</v>
      </c>
      <c r="O893" s="6"/>
      <c r="P893" s="6"/>
      <c r="Q893" s="6"/>
      <c r="R893" s="7">
        <v>7948.85</v>
      </c>
      <c r="S893" s="26">
        <f t="shared" si="348"/>
        <v>0.88320555555555558</v>
      </c>
      <c r="T893" s="27" t="str">
        <f t="shared" si="349"/>
        <v xml:space="preserve"> </v>
      </c>
      <c r="U893" s="27" t="str">
        <f t="shared" si="350"/>
        <v xml:space="preserve"> </v>
      </c>
      <c r="V893" s="27" t="str">
        <f t="shared" si="351"/>
        <v xml:space="preserve"> </v>
      </c>
      <c r="W893" s="27">
        <f t="shared" si="351"/>
        <v>0.88320555555555558</v>
      </c>
    </row>
    <row r="894" spans="1:23" ht="62.25" customHeight="1" x14ac:dyDescent="0.2">
      <c r="A894" s="72">
        <v>1117</v>
      </c>
      <c r="B894" s="76">
        <v>31008</v>
      </c>
      <c r="C894" s="1" t="s">
        <v>195</v>
      </c>
      <c r="D894" s="5">
        <f t="shared" ref="D894:D895" si="376">SUM(E894:H894)</f>
        <v>0</v>
      </c>
      <c r="E894" s="6"/>
      <c r="F894" s="6"/>
      <c r="G894" s="6"/>
      <c r="H894" s="7"/>
      <c r="I894" s="5">
        <f t="shared" ref="I894:I895" si="377">SUM(J894:M894)</f>
        <v>150030.70000000001</v>
      </c>
      <c r="J894" s="6"/>
      <c r="K894" s="6"/>
      <c r="L894" s="6"/>
      <c r="M894" s="7">
        <v>150030.70000000001</v>
      </c>
      <c r="N894" s="5">
        <f>SUM(O894:R894)</f>
        <v>150030.70000000001</v>
      </c>
      <c r="O894" s="6"/>
      <c r="P894" s="6"/>
      <c r="Q894" s="6"/>
      <c r="R894" s="7">
        <v>150030.70000000001</v>
      </c>
      <c r="S894" s="26">
        <f t="shared" si="348"/>
        <v>1</v>
      </c>
      <c r="T894" s="27" t="str">
        <f t="shared" si="349"/>
        <v xml:space="preserve"> </v>
      </c>
      <c r="U894" s="27" t="str">
        <f t="shared" si="350"/>
        <v xml:space="preserve"> </v>
      </c>
      <c r="V894" s="27" t="str">
        <f t="shared" si="351"/>
        <v xml:space="preserve"> </v>
      </c>
      <c r="W894" s="27">
        <f t="shared" si="351"/>
        <v>1</v>
      </c>
    </row>
    <row r="895" spans="1:23" ht="89.25" customHeight="1" x14ac:dyDescent="0.2">
      <c r="A895" s="72">
        <v>1141</v>
      </c>
      <c r="B895" s="76">
        <v>32001</v>
      </c>
      <c r="C895" s="1" t="s">
        <v>196</v>
      </c>
      <c r="D895" s="5">
        <f t="shared" si="376"/>
        <v>0</v>
      </c>
      <c r="E895" s="6"/>
      <c r="F895" s="6"/>
      <c r="G895" s="6"/>
      <c r="H895" s="7"/>
      <c r="I895" s="5">
        <f t="shared" si="377"/>
        <v>5574</v>
      </c>
      <c r="J895" s="6"/>
      <c r="K895" s="6">
        <v>5574</v>
      </c>
      <c r="L895" s="6"/>
      <c r="M895" s="7"/>
      <c r="N895" s="5">
        <f>SUM(O895:R895)</f>
        <v>0</v>
      </c>
      <c r="O895" s="6"/>
      <c r="P895" s="6"/>
      <c r="Q895" s="6"/>
      <c r="R895" s="7"/>
      <c r="S895" s="26">
        <f t="shared" si="348"/>
        <v>0</v>
      </c>
      <c r="T895" s="27" t="str">
        <f t="shared" si="349"/>
        <v xml:space="preserve"> </v>
      </c>
      <c r="U895" s="27">
        <f t="shared" si="350"/>
        <v>0</v>
      </c>
      <c r="V895" s="27" t="str">
        <f t="shared" si="351"/>
        <v xml:space="preserve"> </v>
      </c>
      <c r="W895" s="27" t="str">
        <f t="shared" si="351"/>
        <v xml:space="preserve"> </v>
      </c>
    </row>
    <row r="896" spans="1:23" s="38" customFormat="1" ht="49.5" x14ac:dyDescent="0.2">
      <c r="A896" s="72"/>
      <c r="B896" s="76"/>
      <c r="C896" s="89" t="s">
        <v>58</v>
      </c>
      <c r="D896" s="5">
        <f>SUM(E896:H896)</f>
        <v>1100000</v>
      </c>
      <c r="E896" s="6">
        <f>E898</f>
        <v>0</v>
      </c>
      <c r="F896" s="6">
        <f>F898</f>
        <v>0</v>
      </c>
      <c r="G896" s="6">
        <f>G898</f>
        <v>0</v>
      </c>
      <c r="H896" s="7">
        <f>H898</f>
        <v>1100000</v>
      </c>
      <c r="I896" s="5">
        <f>SUM(J896:M896)</f>
        <v>429000</v>
      </c>
      <c r="J896" s="6">
        <f>J898</f>
        <v>0</v>
      </c>
      <c r="K896" s="6">
        <f>K898</f>
        <v>0</v>
      </c>
      <c r="L896" s="6">
        <f>L898</f>
        <v>0</v>
      </c>
      <c r="M896" s="7">
        <f>M898</f>
        <v>429000</v>
      </c>
      <c r="N896" s="5">
        <f>SUM(O896:R896)</f>
        <v>415861.89</v>
      </c>
      <c r="O896" s="6">
        <f>O898</f>
        <v>0</v>
      </c>
      <c r="P896" s="6">
        <f>P898</f>
        <v>0</v>
      </c>
      <c r="Q896" s="6">
        <f>Q898</f>
        <v>0</v>
      </c>
      <c r="R896" s="7">
        <f>R898</f>
        <v>415861.89</v>
      </c>
      <c r="S896" s="26">
        <f t="shared" si="348"/>
        <v>0.96937503496503497</v>
      </c>
      <c r="T896" s="27" t="str">
        <f t="shared" si="349"/>
        <v xml:space="preserve"> </v>
      </c>
      <c r="U896" s="27" t="str">
        <f t="shared" si="350"/>
        <v xml:space="preserve"> </v>
      </c>
      <c r="V896" s="27" t="str">
        <f t="shared" si="351"/>
        <v xml:space="preserve"> </v>
      </c>
      <c r="W896" s="27">
        <f t="shared" si="351"/>
        <v>0.96937503496503497</v>
      </c>
    </row>
    <row r="897" spans="1:23" ht="16.5" x14ac:dyDescent="0.2">
      <c r="A897" s="74"/>
      <c r="B897" s="75"/>
      <c r="C897" s="4" t="s">
        <v>10</v>
      </c>
      <c r="D897" s="35"/>
      <c r="E897" s="36"/>
      <c r="F897" s="36"/>
      <c r="G897" s="36"/>
      <c r="H897" s="37"/>
      <c r="I897" s="35"/>
      <c r="J897" s="36"/>
      <c r="K897" s="36"/>
      <c r="L897" s="36"/>
      <c r="M897" s="37"/>
      <c r="N897" s="35"/>
      <c r="O897" s="36"/>
      <c r="P897" s="36"/>
      <c r="Q897" s="36"/>
      <c r="R897" s="37"/>
      <c r="S897" s="29" t="str">
        <f t="shared" si="348"/>
        <v xml:space="preserve"> </v>
      </c>
      <c r="T897" s="30" t="str">
        <f t="shared" si="349"/>
        <v xml:space="preserve"> </v>
      </c>
      <c r="U897" s="30" t="str">
        <f t="shared" si="350"/>
        <v xml:space="preserve"> </v>
      </c>
      <c r="V897" s="30" t="str">
        <f t="shared" si="351"/>
        <v xml:space="preserve"> </v>
      </c>
      <c r="W897" s="30" t="str">
        <f t="shared" si="351"/>
        <v xml:space="preserve"> </v>
      </c>
    </row>
    <row r="898" spans="1:23" ht="59.25" customHeight="1" x14ac:dyDescent="0.2">
      <c r="A898" s="72">
        <v>1164</v>
      </c>
      <c r="B898" s="76">
        <v>32001</v>
      </c>
      <c r="C898" s="1" t="s">
        <v>59</v>
      </c>
      <c r="D898" s="5">
        <f>SUM(E898:H898)</f>
        <v>1100000</v>
      </c>
      <c r="E898" s="36"/>
      <c r="F898" s="36"/>
      <c r="G898" s="36"/>
      <c r="H898" s="7">
        <v>1100000</v>
      </c>
      <c r="I898" s="5">
        <f>SUM(J898:M898)</f>
        <v>429000</v>
      </c>
      <c r="J898" s="36"/>
      <c r="K898" s="36"/>
      <c r="L898" s="36"/>
      <c r="M898" s="7">
        <v>429000</v>
      </c>
      <c r="N898" s="5">
        <f>SUM(O898:R898)</f>
        <v>415861.89</v>
      </c>
      <c r="O898" s="36"/>
      <c r="P898" s="36"/>
      <c r="Q898" s="36"/>
      <c r="R898" s="7">
        <v>415861.89</v>
      </c>
      <c r="S898" s="26">
        <f t="shared" si="348"/>
        <v>0.96937503496503497</v>
      </c>
      <c r="T898" s="27" t="str">
        <f t="shared" si="349"/>
        <v xml:space="preserve"> </v>
      </c>
      <c r="U898" s="27" t="str">
        <f t="shared" si="350"/>
        <v xml:space="preserve"> </v>
      </c>
      <c r="V898" s="27" t="str">
        <f t="shared" si="351"/>
        <v xml:space="preserve"> </v>
      </c>
      <c r="W898" s="27">
        <f t="shared" si="351"/>
        <v>0.96937503496503497</v>
      </c>
    </row>
    <row r="899" spans="1:23" s="38" customFormat="1" ht="38.25" customHeight="1" x14ac:dyDescent="0.2">
      <c r="A899" s="72"/>
      <c r="B899" s="73"/>
      <c r="C899" s="89" t="s">
        <v>74</v>
      </c>
      <c r="D899" s="5">
        <f>D901</f>
        <v>34671</v>
      </c>
      <c r="E899" s="6">
        <f t="shared" ref="E899:H899" si="378">E901</f>
        <v>0</v>
      </c>
      <c r="F899" s="6">
        <f t="shared" si="378"/>
        <v>0</v>
      </c>
      <c r="G899" s="6">
        <f t="shared" si="378"/>
        <v>0</v>
      </c>
      <c r="H899" s="7">
        <f t="shared" si="378"/>
        <v>34671</v>
      </c>
      <c r="I899" s="5">
        <f>I901</f>
        <v>33415.199999999997</v>
      </c>
      <c r="J899" s="6">
        <f t="shared" ref="J899:M899" si="379">J901</f>
        <v>0</v>
      </c>
      <c r="K899" s="6">
        <f t="shared" si="379"/>
        <v>0</v>
      </c>
      <c r="L899" s="6">
        <f t="shared" si="379"/>
        <v>0</v>
      </c>
      <c r="M899" s="7">
        <f t="shared" si="379"/>
        <v>33415.199999999997</v>
      </c>
      <c r="N899" s="5">
        <f>N901</f>
        <v>32083.919999999998</v>
      </c>
      <c r="O899" s="6">
        <f t="shared" ref="O899:R899" si="380">O901</f>
        <v>0</v>
      </c>
      <c r="P899" s="6">
        <f t="shared" si="380"/>
        <v>0</v>
      </c>
      <c r="Q899" s="6">
        <f t="shared" si="380"/>
        <v>0</v>
      </c>
      <c r="R899" s="7">
        <f t="shared" si="380"/>
        <v>32083.919999999998</v>
      </c>
      <c r="S899" s="26">
        <f t="shared" si="348"/>
        <v>0.96015944839474254</v>
      </c>
      <c r="T899" s="27" t="str">
        <f t="shared" si="349"/>
        <v xml:space="preserve"> </v>
      </c>
      <c r="U899" s="27" t="str">
        <f t="shared" si="350"/>
        <v xml:space="preserve"> </v>
      </c>
      <c r="V899" s="27" t="str">
        <f t="shared" si="351"/>
        <v xml:space="preserve"> </v>
      </c>
      <c r="W899" s="27">
        <f t="shared" si="351"/>
        <v>0.96015944839474254</v>
      </c>
    </row>
    <row r="900" spans="1:23" ht="29.25" customHeight="1" x14ac:dyDescent="0.2">
      <c r="A900" s="74"/>
      <c r="B900" s="75"/>
      <c r="C900" s="4" t="s">
        <v>10</v>
      </c>
      <c r="D900" s="35"/>
      <c r="E900" s="36"/>
      <c r="F900" s="36"/>
      <c r="G900" s="36"/>
      <c r="H900" s="37"/>
      <c r="I900" s="35"/>
      <c r="J900" s="36"/>
      <c r="K900" s="36"/>
      <c r="L900" s="36"/>
      <c r="M900" s="37"/>
      <c r="N900" s="35"/>
      <c r="O900" s="36"/>
      <c r="P900" s="36"/>
      <c r="Q900" s="36"/>
      <c r="R900" s="37"/>
      <c r="S900" s="29" t="str">
        <f t="shared" si="348"/>
        <v xml:space="preserve"> </v>
      </c>
      <c r="T900" s="30" t="str">
        <f t="shared" si="349"/>
        <v xml:space="preserve"> </v>
      </c>
      <c r="U900" s="30" t="str">
        <f t="shared" si="350"/>
        <v xml:space="preserve"> </v>
      </c>
      <c r="V900" s="30" t="str">
        <f t="shared" si="351"/>
        <v xml:space="preserve"> </v>
      </c>
      <c r="W900" s="30" t="str">
        <f t="shared" si="351"/>
        <v xml:space="preserve"> </v>
      </c>
    </row>
    <row r="901" spans="1:23" ht="60" customHeight="1" x14ac:dyDescent="0.2">
      <c r="A901" s="72">
        <v>1108</v>
      </c>
      <c r="B901" s="76">
        <v>31001</v>
      </c>
      <c r="C901" s="1" t="s">
        <v>75</v>
      </c>
      <c r="D901" s="5">
        <f>SUM(E901:H901)</f>
        <v>34671</v>
      </c>
      <c r="E901" s="6"/>
      <c r="F901" s="6"/>
      <c r="G901" s="6"/>
      <c r="H901" s="7">
        <v>34671</v>
      </c>
      <c r="I901" s="5">
        <f>SUM(J901:M901)</f>
        <v>33415.199999999997</v>
      </c>
      <c r="J901" s="6"/>
      <c r="K901" s="6"/>
      <c r="L901" s="6"/>
      <c r="M901" s="7">
        <v>33415.199999999997</v>
      </c>
      <c r="N901" s="5">
        <f>SUM(O901:R901)</f>
        <v>32083.919999999998</v>
      </c>
      <c r="O901" s="6"/>
      <c r="P901" s="6"/>
      <c r="Q901" s="6"/>
      <c r="R901" s="7">
        <v>32083.919999999998</v>
      </c>
      <c r="S901" s="26">
        <f t="shared" si="348"/>
        <v>0.96015944839474254</v>
      </c>
      <c r="T901" s="27" t="str">
        <f t="shared" si="349"/>
        <v xml:space="preserve"> </v>
      </c>
      <c r="U901" s="27" t="str">
        <f t="shared" si="350"/>
        <v xml:space="preserve"> </v>
      </c>
      <c r="V901" s="27" t="str">
        <f t="shared" si="351"/>
        <v xml:space="preserve"> </v>
      </c>
      <c r="W901" s="27">
        <f t="shared" si="351"/>
        <v>0.96015944839474254</v>
      </c>
    </row>
    <row r="902" spans="1:23" s="38" customFormat="1" ht="33" x14ac:dyDescent="0.2">
      <c r="A902" s="72"/>
      <c r="B902" s="73"/>
      <c r="C902" s="89" t="s">
        <v>197</v>
      </c>
      <c r="D902" s="5">
        <f>SUM(D904,D905,D918,D919)</f>
        <v>0</v>
      </c>
      <c r="E902" s="6">
        <f>SUM(E904,E905,E918,E919)</f>
        <v>0</v>
      </c>
      <c r="F902" s="6">
        <f>SUM(F904,F905,F918,F919)</f>
        <v>0</v>
      </c>
      <c r="G902" s="6">
        <f t="shared" ref="G902:R902" si="381">SUM(G904,G905,G918,G919)</f>
        <v>0</v>
      </c>
      <c r="H902" s="7">
        <f t="shared" si="381"/>
        <v>0</v>
      </c>
      <c r="I902" s="5">
        <f>SUM(I904,I905,I918,I919)</f>
        <v>1228286.3999999999</v>
      </c>
      <c r="J902" s="6">
        <f>SUM(J904,J905,J918,J919)</f>
        <v>0</v>
      </c>
      <c r="K902" s="6">
        <f t="shared" si="381"/>
        <v>319331.8</v>
      </c>
      <c r="L902" s="6">
        <f t="shared" si="381"/>
        <v>11193.9</v>
      </c>
      <c r="M902" s="7">
        <f t="shared" si="381"/>
        <v>897760.7</v>
      </c>
      <c r="N902" s="5">
        <f>SUM(N904,N905,N918,N919)</f>
        <v>930827.35</v>
      </c>
      <c r="O902" s="6">
        <f t="shared" si="381"/>
        <v>0</v>
      </c>
      <c r="P902" s="6">
        <f t="shared" si="381"/>
        <v>138858.96</v>
      </c>
      <c r="Q902" s="6">
        <f t="shared" si="381"/>
        <v>8967</v>
      </c>
      <c r="R902" s="7">
        <f t="shared" si="381"/>
        <v>783001.39</v>
      </c>
      <c r="S902" s="26">
        <f t="shared" si="348"/>
        <v>0.7578259842329933</v>
      </c>
      <c r="T902" s="27" t="str">
        <f t="shared" si="349"/>
        <v xml:space="preserve"> </v>
      </c>
      <c r="U902" s="27">
        <f t="shared" si="350"/>
        <v>0.43484225498368778</v>
      </c>
      <c r="V902" s="27">
        <f t="shared" si="351"/>
        <v>0.80106129231099088</v>
      </c>
      <c r="W902" s="27">
        <f t="shared" si="351"/>
        <v>0.87217160430390861</v>
      </c>
    </row>
    <row r="903" spans="1:23" ht="16.5" x14ac:dyDescent="0.2">
      <c r="A903" s="74"/>
      <c r="B903" s="75"/>
      <c r="C903" s="4" t="s">
        <v>10</v>
      </c>
      <c r="D903" s="35"/>
      <c r="E903" s="36"/>
      <c r="F903" s="36"/>
      <c r="G903" s="36"/>
      <c r="H903" s="37"/>
      <c r="I903" s="35"/>
      <c r="J903" s="36"/>
      <c r="K903" s="36"/>
      <c r="L903" s="36"/>
      <c r="M903" s="37"/>
      <c r="N903" s="35"/>
      <c r="O903" s="36"/>
      <c r="P903" s="36"/>
      <c r="Q903" s="36"/>
      <c r="R903" s="37"/>
      <c r="S903" s="29" t="str">
        <f t="shared" si="348"/>
        <v xml:space="preserve"> </v>
      </c>
      <c r="T903" s="30" t="str">
        <f t="shared" si="349"/>
        <v xml:space="preserve"> </v>
      </c>
      <c r="U903" s="30" t="str">
        <f t="shared" si="350"/>
        <v xml:space="preserve"> </v>
      </c>
      <c r="V903" s="30" t="str">
        <f t="shared" si="351"/>
        <v xml:space="preserve"> </v>
      </c>
      <c r="W903" s="30" t="str">
        <f t="shared" si="351"/>
        <v xml:space="preserve"> </v>
      </c>
    </row>
    <row r="904" spans="1:23" ht="68.25" customHeight="1" x14ac:dyDescent="0.2">
      <c r="A904" s="72">
        <v>1090</v>
      </c>
      <c r="B904" s="76">
        <v>31001</v>
      </c>
      <c r="C904" s="1" t="s">
        <v>205</v>
      </c>
      <c r="D904" s="5">
        <f>SUM(E904:H904)</f>
        <v>0</v>
      </c>
      <c r="E904" s="6"/>
      <c r="F904" s="6"/>
      <c r="G904" s="6"/>
      <c r="H904" s="7"/>
      <c r="I904" s="5">
        <f>SUM(J904:M904)</f>
        <v>897184.7</v>
      </c>
      <c r="J904" s="6"/>
      <c r="K904" s="6"/>
      <c r="L904" s="6"/>
      <c r="M904" s="7">
        <v>897184.7</v>
      </c>
      <c r="N904" s="5">
        <f t="shared" ref="N904:N918" si="382">SUM(O904:R904)</f>
        <v>782820.59</v>
      </c>
      <c r="O904" s="6"/>
      <c r="P904" s="6"/>
      <c r="Q904" s="6"/>
      <c r="R904" s="7">
        <v>782820.59</v>
      </c>
      <c r="S904" s="26">
        <f t="shared" si="348"/>
        <v>0.87253002642599675</v>
      </c>
      <c r="T904" s="27" t="str">
        <f t="shared" si="349"/>
        <v xml:space="preserve"> </v>
      </c>
      <c r="U904" s="27" t="str">
        <f t="shared" si="350"/>
        <v xml:space="preserve"> </v>
      </c>
      <c r="V904" s="27" t="str">
        <f t="shared" si="351"/>
        <v xml:space="preserve"> </v>
      </c>
      <c r="W904" s="27">
        <f t="shared" si="351"/>
        <v>0.87253002642599675</v>
      </c>
    </row>
    <row r="905" spans="1:23" ht="62.25" customHeight="1" x14ac:dyDescent="0.2">
      <c r="A905" s="72">
        <v>1090</v>
      </c>
      <c r="B905" s="76">
        <v>31007</v>
      </c>
      <c r="C905" s="1" t="s">
        <v>206</v>
      </c>
      <c r="D905" s="5">
        <f>SUM(E905:H905)</f>
        <v>0</v>
      </c>
      <c r="E905" s="6"/>
      <c r="F905" s="6"/>
      <c r="G905" s="6"/>
      <c r="H905" s="7"/>
      <c r="I905" s="5">
        <f>SUM(J905:M905)</f>
        <v>304758.7</v>
      </c>
      <c r="J905" s="6">
        <f>SUM(J906:J917)</f>
        <v>0</v>
      </c>
      <c r="K905" s="6">
        <f t="shared" ref="K905:M905" si="383">SUM(K906:K917)</f>
        <v>294896.8</v>
      </c>
      <c r="L905" s="6">
        <f t="shared" si="383"/>
        <v>9861.9</v>
      </c>
      <c r="M905" s="7">
        <f t="shared" si="383"/>
        <v>0</v>
      </c>
      <c r="N905" s="5">
        <f t="shared" si="382"/>
        <v>123251.50999999998</v>
      </c>
      <c r="O905" s="6">
        <f>SUM(O906:O917)</f>
        <v>0</v>
      </c>
      <c r="P905" s="6">
        <f t="shared" ref="P905" si="384">SUM(P906:P917)</f>
        <v>115048.50999999998</v>
      </c>
      <c r="Q905" s="6">
        <f t="shared" ref="Q905" si="385">SUM(Q906:Q917)</f>
        <v>8203</v>
      </c>
      <c r="R905" s="7">
        <f t="shared" ref="R905" si="386">SUM(R906:R917)</f>
        <v>0</v>
      </c>
      <c r="S905" s="26">
        <f t="shared" si="348"/>
        <v>0.40442326995094802</v>
      </c>
      <c r="T905" s="27" t="str">
        <f t="shared" si="349"/>
        <v xml:space="preserve"> </v>
      </c>
      <c r="U905" s="27">
        <f t="shared" si="350"/>
        <v>0.39013142902873138</v>
      </c>
      <c r="V905" s="27">
        <f t="shared" si="351"/>
        <v>0.83178697816850711</v>
      </c>
      <c r="W905" s="27" t="str">
        <f t="shared" si="351"/>
        <v xml:space="preserve"> </v>
      </c>
    </row>
    <row r="906" spans="1:23" ht="114" customHeight="1" x14ac:dyDescent="0.2">
      <c r="A906" s="74"/>
      <c r="B906" s="75"/>
      <c r="C906" s="4" t="s">
        <v>198</v>
      </c>
      <c r="D906" s="35">
        <f>SUM(E906:H906)</f>
        <v>0</v>
      </c>
      <c r="E906" s="36"/>
      <c r="F906" s="36"/>
      <c r="G906" s="36"/>
      <c r="H906" s="37"/>
      <c r="I906" s="35">
        <f>SUM(J906:M906)</f>
        <v>43496.4</v>
      </c>
      <c r="J906" s="36"/>
      <c r="K906" s="36">
        <v>42302.9</v>
      </c>
      <c r="L906" s="36">
        <v>1193.5</v>
      </c>
      <c r="M906" s="37"/>
      <c r="N906" s="35">
        <f t="shared" si="382"/>
        <v>1165</v>
      </c>
      <c r="O906" s="36"/>
      <c r="P906" s="36"/>
      <c r="Q906" s="36">
        <v>1165</v>
      </c>
      <c r="R906" s="37"/>
      <c r="S906" s="29">
        <f t="shared" si="348"/>
        <v>2.6783825787881296E-2</v>
      </c>
      <c r="T906" s="30" t="str">
        <f t="shared" si="349"/>
        <v xml:space="preserve"> </v>
      </c>
      <c r="U906" s="30">
        <f t="shared" si="350"/>
        <v>0</v>
      </c>
      <c r="V906" s="30">
        <f t="shared" si="351"/>
        <v>0.97612065354000843</v>
      </c>
      <c r="W906" s="30" t="str">
        <f t="shared" si="351"/>
        <v xml:space="preserve"> </v>
      </c>
    </row>
    <row r="907" spans="1:23" ht="119.25" customHeight="1" x14ac:dyDescent="0.2">
      <c r="A907" s="74"/>
      <c r="B907" s="75"/>
      <c r="C907" s="4" t="s">
        <v>247</v>
      </c>
      <c r="D907" s="35">
        <f t="shared" ref="D907:D917" si="387">SUM(E907:H907)</f>
        <v>0</v>
      </c>
      <c r="E907" s="36"/>
      <c r="F907" s="36"/>
      <c r="G907" s="36"/>
      <c r="H907" s="37"/>
      <c r="I907" s="35">
        <f t="shared" ref="I907:I918" si="388">SUM(J907:M907)</f>
        <v>27108.799999999999</v>
      </c>
      <c r="J907" s="36"/>
      <c r="K907" s="36">
        <v>26448.799999999999</v>
      </c>
      <c r="L907" s="36">
        <v>660</v>
      </c>
      <c r="M907" s="37"/>
      <c r="N907" s="35">
        <f t="shared" si="382"/>
        <v>12513.27</v>
      </c>
      <c r="O907" s="36"/>
      <c r="P907" s="36">
        <v>11854.27</v>
      </c>
      <c r="Q907" s="36">
        <v>659</v>
      </c>
      <c r="R907" s="37"/>
      <c r="S907" s="29">
        <f t="shared" si="348"/>
        <v>0.46159439001357494</v>
      </c>
      <c r="T907" s="30" t="str">
        <f t="shared" si="349"/>
        <v xml:space="preserve"> </v>
      </c>
      <c r="U907" s="30">
        <f t="shared" si="350"/>
        <v>0.44819689362088266</v>
      </c>
      <c r="V907" s="30">
        <f t="shared" si="351"/>
        <v>0.99848484848484853</v>
      </c>
      <c r="W907" s="30" t="str">
        <f t="shared" si="351"/>
        <v xml:space="preserve"> </v>
      </c>
    </row>
    <row r="908" spans="1:23" ht="118.5" customHeight="1" x14ac:dyDescent="0.2">
      <c r="A908" s="74"/>
      <c r="B908" s="75"/>
      <c r="C908" s="4" t="s">
        <v>199</v>
      </c>
      <c r="D908" s="35">
        <f t="shared" si="387"/>
        <v>0</v>
      </c>
      <c r="E908" s="36"/>
      <c r="F908" s="36"/>
      <c r="G908" s="36"/>
      <c r="H908" s="37"/>
      <c r="I908" s="35">
        <f t="shared" si="388"/>
        <v>40231.599999999999</v>
      </c>
      <c r="J908" s="36"/>
      <c r="K908" s="36">
        <v>39362.6</v>
      </c>
      <c r="L908" s="36">
        <v>869</v>
      </c>
      <c r="M908" s="37"/>
      <c r="N908" s="35">
        <f t="shared" si="382"/>
        <v>36219.230000000003</v>
      </c>
      <c r="O908" s="36"/>
      <c r="P908" s="36">
        <v>35350.230000000003</v>
      </c>
      <c r="Q908" s="36">
        <v>869</v>
      </c>
      <c r="R908" s="37"/>
      <c r="S908" s="29">
        <f t="shared" si="348"/>
        <v>0.90026819713856776</v>
      </c>
      <c r="T908" s="30" t="str">
        <f t="shared" si="349"/>
        <v xml:space="preserve"> </v>
      </c>
      <c r="U908" s="30">
        <f t="shared" si="350"/>
        <v>0.89806643870069569</v>
      </c>
      <c r="V908" s="30">
        <f t="shared" si="351"/>
        <v>1</v>
      </c>
      <c r="W908" s="30" t="str">
        <f t="shared" si="351"/>
        <v xml:space="preserve"> </v>
      </c>
    </row>
    <row r="909" spans="1:23" ht="100.5" customHeight="1" x14ac:dyDescent="0.2">
      <c r="A909" s="74"/>
      <c r="B909" s="75"/>
      <c r="C909" s="4" t="s">
        <v>200</v>
      </c>
      <c r="D909" s="35">
        <f t="shared" si="387"/>
        <v>0</v>
      </c>
      <c r="E909" s="36"/>
      <c r="F909" s="36"/>
      <c r="G909" s="36"/>
      <c r="H909" s="37"/>
      <c r="I909" s="35">
        <f t="shared" si="388"/>
        <v>12139.7</v>
      </c>
      <c r="J909" s="36"/>
      <c r="K909" s="36">
        <v>11695.7</v>
      </c>
      <c r="L909" s="36">
        <v>444</v>
      </c>
      <c r="M909" s="37"/>
      <c r="N909" s="35">
        <f t="shared" si="382"/>
        <v>444</v>
      </c>
      <c r="O909" s="36"/>
      <c r="P909" s="36"/>
      <c r="Q909" s="36">
        <v>444</v>
      </c>
      <c r="R909" s="37"/>
      <c r="S909" s="29">
        <f t="shared" si="348"/>
        <v>3.6574215178299299E-2</v>
      </c>
      <c r="T909" s="30" t="str">
        <f t="shared" si="349"/>
        <v xml:space="preserve"> </v>
      </c>
      <c r="U909" s="30">
        <f t="shared" si="350"/>
        <v>0</v>
      </c>
      <c r="V909" s="30">
        <f t="shared" si="351"/>
        <v>1</v>
      </c>
      <c r="W909" s="30" t="str">
        <f t="shared" si="351"/>
        <v xml:space="preserve"> </v>
      </c>
    </row>
    <row r="910" spans="1:23" ht="171" customHeight="1" x14ac:dyDescent="0.2">
      <c r="A910" s="74"/>
      <c r="B910" s="75"/>
      <c r="C910" s="4" t="s">
        <v>201</v>
      </c>
      <c r="D910" s="35">
        <f t="shared" si="387"/>
        <v>0</v>
      </c>
      <c r="E910" s="36"/>
      <c r="F910" s="36"/>
      <c r="G910" s="36"/>
      <c r="H910" s="37"/>
      <c r="I910" s="35">
        <f t="shared" si="388"/>
        <v>34651.300000000003</v>
      </c>
      <c r="J910" s="36"/>
      <c r="K910" s="36">
        <v>34207.300000000003</v>
      </c>
      <c r="L910" s="36">
        <v>444</v>
      </c>
      <c r="M910" s="37"/>
      <c r="N910" s="35">
        <f t="shared" si="382"/>
        <v>444</v>
      </c>
      <c r="O910" s="36"/>
      <c r="P910" s="36"/>
      <c r="Q910" s="36">
        <v>444</v>
      </c>
      <c r="R910" s="37"/>
      <c r="S910" s="29">
        <f t="shared" si="348"/>
        <v>1.2813372081278335E-2</v>
      </c>
      <c r="T910" s="30" t="str">
        <f t="shared" si="349"/>
        <v xml:space="preserve"> </v>
      </c>
      <c r="U910" s="30">
        <f t="shared" si="350"/>
        <v>0</v>
      </c>
      <c r="V910" s="30">
        <f t="shared" si="351"/>
        <v>1</v>
      </c>
      <c r="W910" s="30" t="str">
        <f t="shared" si="351"/>
        <v xml:space="preserve"> </v>
      </c>
    </row>
    <row r="911" spans="1:23" ht="107.25" customHeight="1" x14ac:dyDescent="0.2">
      <c r="A911" s="74"/>
      <c r="B911" s="75"/>
      <c r="C911" s="4" t="s">
        <v>248</v>
      </c>
      <c r="D911" s="35">
        <f t="shared" si="387"/>
        <v>0</v>
      </c>
      <c r="E911" s="36"/>
      <c r="F911" s="36"/>
      <c r="G911" s="36"/>
      <c r="H911" s="37"/>
      <c r="I911" s="35">
        <f t="shared" si="388"/>
        <v>8970.4</v>
      </c>
      <c r="J911" s="36"/>
      <c r="K911" s="36">
        <v>7462.4</v>
      </c>
      <c r="L911" s="36">
        <v>1508</v>
      </c>
      <c r="M911" s="37"/>
      <c r="N911" s="35">
        <f t="shared" si="382"/>
        <v>0</v>
      </c>
      <c r="O911" s="36"/>
      <c r="P911" s="36"/>
      <c r="Q911" s="36"/>
      <c r="R911" s="37"/>
      <c r="S911" s="29">
        <f t="shared" si="348"/>
        <v>0</v>
      </c>
      <c r="T911" s="30" t="str">
        <f t="shared" si="349"/>
        <v xml:space="preserve"> </v>
      </c>
      <c r="U911" s="30">
        <f t="shared" si="350"/>
        <v>0</v>
      </c>
      <c r="V911" s="30">
        <f t="shared" si="351"/>
        <v>0</v>
      </c>
      <c r="W911" s="30" t="str">
        <f t="shared" si="351"/>
        <v xml:space="preserve"> </v>
      </c>
    </row>
    <row r="912" spans="1:23" ht="126" customHeight="1" x14ac:dyDescent="0.2">
      <c r="A912" s="74"/>
      <c r="B912" s="75"/>
      <c r="C912" s="4" t="s">
        <v>249</v>
      </c>
      <c r="D912" s="35">
        <f t="shared" si="387"/>
        <v>0</v>
      </c>
      <c r="E912" s="36"/>
      <c r="F912" s="36"/>
      <c r="G912" s="36"/>
      <c r="H912" s="37"/>
      <c r="I912" s="35">
        <f t="shared" si="388"/>
        <v>29654.7</v>
      </c>
      <c r="J912" s="36"/>
      <c r="K912" s="36">
        <v>28444.7</v>
      </c>
      <c r="L912" s="36">
        <v>1210</v>
      </c>
      <c r="M912" s="37"/>
      <c r="N912" s="35">
        <f t="shared" si="382"/>
        <v>21788.23</v>
      </c>
      <c r="O912" s="36"/>
      <c r="P912" s="36">
        <v>20608.23</v>
      </c>
      <c r="Q912" s="36">
        <v>1180</v>
      </c>
      <c r="R912" s="37"/>
      <c r="S912" s="29">
        <f t="shared" si="348"/>
        <v>0.73473108815803223</v>
      </c>
      <c r="T912" s="30" t="str">
        <f t="shared" si="349"/>
        <v xml:space="preserve"> </v>
      </c>
      <c r="U912" s="30">
        <f t="shared" si="350"/>
        <v>0.72450157674364646</v>
      </c>
      <c r="V912" s="30">
        <f t="shared" si="351"/>
        <v>0.97520661157024791</v>
      </c>
      <c r="W912" s="30" t="str">
        <f t="shared" si="351"/>
        <v xml:space="preserve"> </v>
      </c>
    </row>
    <row r="913" spans="1:23" ht="152.25" customHeight="1" x14ac:dyDescent="0.2">
      <c r="A913" s="74"/>
      <c r="B913" s="75"/>
      <c r="C913" s="4" t="s">
        <v>202</v>
      </c>
      <c r="D913" s="35">
        <f t="shared" si="387"/>
        <v>0</v>
      </c>
      <c r="E913" s="36"/>
      <c r="F913" s="36"/>
      <c r="G913" s="36"/>
      <c r="H913" s="37"/>
      <c r="I913" s="35">
        <f t="shared" si="388"/>
        <v>42070.400000000001</v>
      </c>
      <c r="J913" s="36"/>
      <c r="K913" s="36">
        <v>40860.400000000001</v>
      </c>
      <c r="L913" s="36">
        <v>1210</v>
      </c>
      <c r="M913" s="37"/>
      <c r="N913" s="35">
        <f t="shared" si="382"/>
        <v>12835.79</v>
      </c>
      <c r="O913" s="36"/>
      <c r="P913" s="36">
        <v>11655.79</v>
      </c>
      <c r="Q913" s="36">
        <v>1180</v>
      </c>
      <c r="R913" s="37"/>
      <c r="S913" s="29">
        <f t="shared" si="348"/>
        <v>0.30510263748383665</v>
      </c>
      <c r="T913" s="30" t="str">
        <f t="shared" si="349"/>
        <v xml:space="preserve"> </v>
      </c>
      <c r="U913" s="30">
        <f t="shared" si="350"/>
        <v>0.28525883251265283</v>
      </c>
      <c r="V913" s="30">
        <f t="shared" si="351"/>
        <v>0.97520661157024791</v>
      </c>
      <c r="W913" s="30" t="str">
        <f t="shared" si="351"/>
        <v xml:space="preserve"> </v>
      </c>
    </row>
    <row r="914" spans="1:23" ht="136.5" customHeight="1" x14ac:dyDescent="0.2">
      <c r="A914" s="74"/>
      <c r="B914" s="75"/>
      <c r="C914" s="4" t="s">
        <v>250</v>
      </c>
      <c r="D914" s="35">
        <f t="shared" si="387"/>
        <v>0</v>
      </c>
      <c r="E914" s="36"/>
      <c r="F914" s="36"/>
      <c r="G914" s="36"/>
      <c r="H914" s="37"/>
      <c r="I914" s="35">
        <f t="shared" si="388"/>
        <v>44125.2</v>
      </c>
      <c r="J914" s="36"/>
      <c r="K914" s="36">
        <v>43470.7</v>
      </c>
      <c r="L914" s="36">
        <v>654.5</v>
      </c>
      <c r="M914" s="37"/>
      <c r="N914" s="35">
        <f t="shared" si="382"/>
        <v>30532.81</v>
      </c>
      <c r="O914" s="36"/>
      <c r="P914" s="36">
        <v>29878.81</v>
      </c>
      <c r="Q914" s="36">
        <v>654</v>
      </c>
      <c r="R914" s="37"/>
      <c r="S914" s="29">
        <f t="shared" si="348"/>
        <v>0.69195856336061945</v>
      </c>
      <c r="T914" s="30" t="str">
        <f t="shared" si="349"/>
        <v xml:space="preserve"> </v>
      </c>
      <c r="U914" s="30">
        <f t="shared" si="350"/>
        <v>0.68733215706211315</v>
      </c>
      <c r="V914" s="30">
        <f t="shared" si="351"/>
        <v>0.99923605805958748</v>
      </c>
      <c r="W914" s="30" t="str">
        <f t="shared" si="351"/>
        <v xml:space="preserve"> </v>
      </c>
    </row>
    <row r="915" spans="1:23" ht="114" customHeight="1" x14ac:dyDescent="0.2">
      <c r="A915" s="74"/>
      <c r="B915" s="75"/>
      <c r="C915" s="4" t="s">
        <v>203</v>
      </c>
      <c r="D915" s="35">
        <f t="shared" si="387"/>
        <v>0</v>
      </c>
      <c r="E915" s="36"/>
      <c r="F915" s="36"/>
      <c r="G915" s="36"/>
      <c r="H915" s="37"/>
      <c r="I915" s="35">
        <f t="shared" si="388"/>
        <v>13724.199999999999</v>
      </c>
      <c r="J915" s="36"/>
      <c r="K915" s="36">
        <v>13065.3</v>
      </c>
      <c r="L915" s="36">
        <v>658.9</v>
      </c>
      <c r="M915" s="37"/>
      <c r="N915" s="35">
        <f t="shared" si="382"/>
        <v>658</v>
      </c>
      <c r="O915" s="36"/>
      <c r="P915" s="36"/>
      <c r="Q915" s="36">
        <v>658</v>
      </c>
      <c r="R915" s="37"/>
      <c r="S915" s="29">
        <f t="shared" si="348"/>
        <v>4.7944506783637666E-2</v>
      </c>
      <c r="T915" s="30" t="str">
        <f t="shared" si="349"/>
        <v xml:space="preserve"> </v>
      </c>
      <c r="U915" s="30">
        <f t="shared" si="350"/>
        <v>0</v>
      </c>
      <c r="V915" s="30">
        <f t="shared" si="351"/>
        <v>0.99863408711488844</v>
      </c>
      <c r="W915" s="30" t="str">
        <f t="shared" si="351"/>
        <v xml:space="preserve"> </v>
      </c>
    </row>
    <row r="916" spans="1:23" ht="98.25" customHeight="1" x14ac:dyDescent="0.2">
      <c r="A916" s="74"/>
      <c r="B916" s="75"/>
      <c r="C916" s="4" t="s">
        <v>251</v>
      </c>
      <c r="D916" s="35">
        <f t="shared" si="387"/>
        <v>0</v>
      </c>
      <c r="E916" s="36"/>
      <c r="F916" s="36"/>
      <c r="G916" s="36"/>
      <c r="H916" s="37"/>
      <c r="I916" s="35">
        <f t="shared" si="388"/>
        <v>7636</v>
      </c>
      <c r="J916" s="36"/>
      <c r="K916" s="36">
        <v>7576</v>
      </c>
      <c r="L916" s="36">
        <v>60</v>
      </c>
      <c r="M916" s="37"/>
      <c r="N916" s="35">
        <f t="shared" si="382"/>
        <v>5701.18</v>
      </c>
      <c r="O916" s="36"/>
      <c r="P916" s="36">
        <v>5701.18</v>
      </c>
      <c r="Q916" s="36"/>
      <c r="R916" s="37"/>
      <c r="S916" s="29">
        <f t="shared" si="348"/>
        <v>0.74661864850707182</v>
      </c>
      <c r="T916" s="30" t="str">
        <f t="shared" si="349"/>
        <v xml:space="preserve"> </v>
      </c>
      <c r="U916" s="30">
        <f t="shared" si="350"/>
        <v>0.75253167898627249</v>
      </c>
      <c r="V916" s="30">
        <f t="shared" si="351"/>
        <v>0</v>
      </c>
      <c r="W916" s="30" t="str">
        <f t="shared" si="351"/>
        <v xml:space="preserve"> </v>
      </c>
    </row>
    <row r="917" spans="1:23" ht="117.75" customHeight="1" x14ac:dyDescent="0.2">
      <c r="A917" s="74"/>
      <c r="B917" s="75"/>
      <c r="C917" s="4" t="s">
        <v>204</v>
      </c>
      <c r="D917" s="35">
        <f t="shared" si="387"/>
        <v>0</v>
      </c>
      <c r="E917" s="36"/>
      <c r="F917" s="36"/>
      <c r="G917" s="36"/>
      <c r="H917" s="37"/>
      <c r="I917" s="35">
        <f t="shared" si="388"/>
        <v>950</v>
      </c>
      <c r="J917" s="36"/>
      <c r="K917" s="36"/>
      <c r="L917" s="36">
        <v>950</v>
      </c>
      <c r="M917" s="37"/>
      <c r="N917" s="35">
        <f t="shared" si="382"/>
        <v>950</v>
      </c>
      <c r="O917" s="36"/>
      <c r="P917" s="36"/>
      <c r="Q917" s="36">
        <v>950</v>
      </c>
      <c r="R917" s="37"/>
      <c r="S917" s="29">
        <f t="shared" si="348"/>
        <v>1</v>
      </c>
      <c r="T917" s="30" t="str">
        <f t="shared" si="349"/>
        <v xml:space="preserve"> </v>
      </c>
      <c r="U917" s="30" t="str">
        <f t="shared" si="350"/>
        <v xml:space="preserve"> </v>
      </c>
      <c r="V917" s="30">
        <f t="shared" si="351"/>
        <v>1</v>
      </c>
      <c r="W917" s="30" t="str">
        <f t="shared" si="351"/>
        <v xml:space="preserve"> </v>
      </c>
    </row>
    <row r="918" spans="1:23" ht="63" customHeight="1" x14ac:dyDescent="0.2">
      <c r="A918" s="72">
        <v>1112</v>
      </c>
      <c r="B918" s="76">
        <v>31001</v>
      </c>
      <c r="C918" s="1" t="s">
        <v>207</v>
      </c>
      <c r="D918" s="5">
        <f t="shared" ref="D918:D920" si="389">SUM(E918:H918)</f>
        <v>0</v>
      </c>
      <c r="E918" s="6"/>
      <c r="F918" s="6"/>
      <c r="G918" s="6"/>
      <c r="H918" s="7"/>
      <c r="I918" s="5">
        <f t="shared" si="388"/>
        <v>576</v>
      </c>
      <c r="J918" s="6"/>
      <c r="K918" s="6"/>
      <c r="L918" s="6"/>
      <c r="M918" s="7">
        <v>576</v>
      </c>
      <c r="N918" s="5">
        <f t="shared" si="382"/>
        <v>180.8</v>
      </c>
      <c r="O918" s="6"/>
      <c r="P918" s="6"/>
      <c r="Q918" s="6"/>
      <c r="R918" s="7">
        <v>180.8</v>
      </c>
      <c r="S918" s="26">
        <f t="shared" si="348"/>
        <v>0.31388888888888888</v>
      </c>
      <c r="T918" s="27" t="str">
        <f t="shared" si="349"/>
        <v xml:space="preserve"> </v>
      </c>
      <c r="U918" s="27" t="str">
        <f t="shared" si="350"/>
        <v xml:space="preserve"> </v>
      </c>
      <c r="V918" s="27" t="str">
        <f t="shared" si="351"/>
        <v xml:space="preserve"> </v>
      </c>
      <c r="W918" s="27">
        <f t="shared" si="351"/>
        <v>0.31388888888888888</v>
      </c>
    </row>
    <row r="919" spans="1:23" ht="62.25" customHeight="1" x14ac:dyDescent="0.2">
      <c r="A919" s="72">
        <v>1112</v>
      </c>
      <c r="B919" s="76">
        <v>31002</v>
      </c>
      <c r="C919" s="1" t="s">
        <v>208</v>
      </c>
      <c r="D919" s="5">
        <f t="shared" si="389"/>
        <v>0</v>
      </c>
      <c r="E919" s="6"/>
      <c r="F919" s="6"/>
      <c r="G919" s="6"/>
      <c r="H919" s="7"/>
      <c r="I919" s="5">
        <f>SUM(I920)</f>
        <v>25767</v>
      </c>
      <c r="J919" s="6">
        <f t="shared" ref="J919:R919" si="390">SUM(J920)</f>
        <v>0</v>
      </c>
      <c r="K919" s="6">
        <f t="shared" si="390"/>
        <v>24435</v>
      </c>
      <c r="L919" s="6">
        <f t="shared" si="390"/>
        <v>1332</v>
      </c>
      <c r="M919" s="7">
        <f t="shared" si="390"/>
        <v>0</v>
      </c>
      <c r="N919" s="5">
        <f t="shared" si="390"/>
        <v>24574.45</v>
      </c>
      <c r="O919" s="6">
        <f t="shared" si="390"/>
        <v>0</v>
      </c>
      <c r="P919" s="6">
        <f t="shared" si="390"/>
        <v>23810.45</v>
      </c>
      <c r="Q919" s="6">
        <f t="shared" si="390"/>
        <v>764</v>
      </c>
      <c r="R919" s="7">
        <f t="shared" si="390"/>
        <v>0</v>
      </c>
      <c r="S919" s="26">
        <f t="shared" si="348"/>
        <v>0.95371793379128345</v>
      </c>
      <c r="T919" s="27" t="str">
        <f t="shared" si="349"/>
        <v xml:space="preserve"> </v>
      </c>
      <c r="U919" s="27">
        <f t="shared" si="350"/>
        <v>0.97444035195416412</v>
      </c>
      <c r="V919" s="27">
        <f t="shared" si="351"/>
        <v>0.57357357357357353</v>
      </c>
      <c r="W919" s="27" t="str">
        <f t="shared" si="351"/>
        <v xml:space="preserve"> </v>
      </c>
    </row>
    <row r="920" spans="1:23" ht="79.5" customHeight="1" x14ac:dyDescent="0.2">
      <c r="A920" s="74"/>
      <c r="B920" s="75"/>
      <c r="C920" s="4" t="s">
        <v>252</v>
      </c>
      <c r="D920" s="35">
        <f t="shared" si="389"/>
        <v>0</v>
      </c>
      <c r="E920" s="36"/>
      <c r="F920" s="36"/>
      <c r="G920" s="36"/>
      <c r="H920" s="37"/>
      <c r="I920" s="35">
        <f>SUM(J920:M920)</f>
        <v>25767</v>
      </c>
      <c r="J920" s="36"/>
      <c r="K920" s="36">
        <v>24435</v>
      </c>
      <c r="L920" s="36">
        <v>1332</v>
      </c>
      <c r="M920" s="37"/>
      <c r="N920" s="35">
        <f>SUM(O920:R920)</f>
        <v>24574.45</v>
      </c>
      <c r="O920" s="36"/>
      <c r="P920" s="36">
        <v>23810.45</v>
      </c>
      <c r="Q920" s="36">
        <v>764</v>
      </c>
      <c r="R920" s="37"/>
      <c r="S920" s="29">
        <f t="shared" ref="S920:S983" si="391">IF(I920=0," ",N920/I920)</f>
        <v>0.95371793379128345</v>
      </c>
      <c r="T920" s="30" t="str">
        <f t="shared" ref="T920:T983" si="392">IF(J920=0," ",O920/J920)</f>
        <v xml:space="preserve"> </v>
      </c>
      <c r="U920" s="30">
        <f t="shared" ref="U920:U983" si="393">IF(K920=0," ",P920/K920)</f>
        <v>0.97444035195416412</v>
      </c>
      <c r="V920" s="30">
        <f t="shared" ref="V920:W983" si="394">IF(L920=0," ",Q920/L920)</f>
        <v>0.57357357357357353</v>
      </c>
      <c r="W920" s="30" t="str">
        <f t="shared" si="394"/>
        <v xml:space="preserve"> </v>
      </c>
    </row>
    <row r="921" spans="1:23" s="38" customFormat="1" ht="37.5" customHeight="1" x14ac:dyDescent="0.2">
      <c r="A921" s="72"/>
      <c r="B921" s="73"/>
      <c r="C921" s="89" t="s">
        <v>21</v>
      </c>
      <c r="D921" s="5">
        <f>SUM(E921:H921)</f>
        <v>273627</v>
      </c>
      <c r="E921" s="6">
        <f>SUM(E923:E924)</f>
        <v>0</v>
      </c>
      <c r="F921" s="6">
        <f t="shared" ref="F921:H921" si="395">SUM(F923:F924)</f>
        <v>0</v>
      </c>
      <c r="G921" s="6">
        <f t="shared" si="395"/>
        <v>0</v>
      </c>
      <c r="H921" s="7">
        <f t="shared" si="395"/>
        <v>273627</v>
      </c>
      <c r="I921" s="5">
        <f>SUM(J921:M921)</f>
        <v>272485.8</v>
      </c>
      <c r="J921" s="6">
        <f>SUM(J923:J924)</f>
        <v>0</v>
      </c>
      <c r="K921" s="6">
        <f t="shared" ref="K921:M921" si="396">SUM(K923:K924)</f>
        <v>0</v>
      </c>
      <c r="L921" s="6">
        <f t="shared" si="396"/>
        <v>0</v>
      </c>
      <c r="M921" s="7">
        <f t="shared" si="396"/>
        <v>272485.8</v>
      </c>
      <c r="N921" s="5">
        <f>SUM(O921:R921)</f>
        <v>272485.5</v>
      </c>
      <c r="O921" s="6">
        <f>SUM(O923:O924)</f>
        <v>0</v>
      </c>
      <c r="P921" s="6">
        <f t="shared" ref="P921:R921" si="397">SUM(P923:P924)</f>
        <v>0</v>
      </c>
      <c r="Q921" s="6">
        <f t="shared" si="397"/>
        <v>0</v>
      </c>
      <c r="R921" s="7">
        <f t="shared" si="397"/>
        <v>272485.5</v>
      </c>
      <c r="S921" s="26">
        <f t="shared" si="391"/>
        <v>0.9999988990251969</v>
      </c>
      <c r="T921" s="27" t="str">
        <f t="shared" si="392"/>
        <v xml:space="preserve"> </v>
      </c>
      <c r="U921" s="27" t="str">
        <f t="shared" si="393"/>
        <v xml:space="preserve"> </v>
      </c>
      <c r="V921" s="27" t="str">
        <f t="shared" si="394"/>
        <v xml:space="preserve"> </v>
      </c>
      <c r="W921" s="27">
        <f t="shared" si="394"/>
        <v>0.9999988990251969</v>
      </c>
    </row>
    <row r="922" spans="1:23" ht="21.75" customHeight="1" x14ac:dyDescent="0.2">
      <c r="A922" s="74"/>
      <c r="B922" s="75"/>
      <c r="C922" s="4" t="s">
        <v>10</v>
      </c>
      <c r="D922" s="35"/>
      <c r="E922" s="36"/>
      <c r="F922" s="36"/>
      <c r="G922" s="36"/>
      <c r="H922" s="37"/>
      <c r="I922" s="35"/>
      <c r="J922" s="36"/>
      <c r="K922" s="36"/>
      <c r="L922" s="36"/>
      <c r="M922" s="37"/>
      <c r="N922" s="35"/>
      <c r="O922" s="36"/>
      <c r="P922" s="36"/>
      <c r="Q922" s="36"/>
      <c r="R922" s="37"/>
      <c r="S922" s="29" t="str">
        <f t="shared" si="391"/>
        <v xml:space="preserve"> </v>
      </c>
      <c r="T922" s="30" t="str">
        <f t="shared" si="392"/>
        <v xml:space="preserve"> </v>
      </c>
      <c r="U922" s="30" t="str">
        <f t="shared" si="393"/>
        <v xml:space="preserve"> </v>
      </c>
      <c r="V922" s="30" t="str">
        <f t="shared" si="394"/>
        <v xml:space="preserve"> </v>
      </c>
      <c r="W922" s="30" t="str">
        <f t="shared" si="394"/>
        <v xml:space="preserve"> </v>
      </c>
    </row>
    <row r="923" spans="1:23" ht="81" customHeight="1" x14ac:dyDescent="0.2">
      <c r="A923" s="72">
        <v>1143</v>
      </c>
      <c r="B923" s="76">
        <v>31001</v>
      </c>
      <c r="C923" s="1" t="s">
        <v>90</v>
      </c>
      <c r="D923" s="5">
        <f t="shared" ref="D923" si="398">SUM(E923:H923)</f>
        <v>273627</v>
      </c>
      <c r="E923" s="6"/>
      <c r="F923" s="6"/>
      <c r="G923" s="6"/>
      <c r="H923" s="7">
        <v>273627</v>
      </c>
      <c r="I923" s="5">
        <f t="shared" ref="I923" si="399">SUM(J923:M923)</f>
        <v>271675.8</v>
      </c>
      <c r="J923" s="6"/>
      <c r="K923" s="6"/>
      <c r="L923" s="6"/>
      <c r="M923" s="7">
        <v>271675.8</v>
      </c>
      <c r="N923" s="5">
        <f>SUM(O923:R923)</f>
        <v>271675.8</v>
      </c>
      <c r="O923" s="6"/>
      <c r="P923" s="6"/>
      <c r="Q923" s="6"/>
      <c r="R923" s="7">
        <v>271675.8</v>
      </c>
      <c r="S923" s="26">
        <f t="shared" si="391"/>
        <v>1</v>
      </c>
      <c r="T923" s="27" t="str">
        <f t="shared" si="392"/>
        <v xml:space="preserve"> </v>
      </c>
      <c r="U923" s="27" t="str">
        <f t="shared" si="393"/>
        <v xml:space="preserve"> </v>
      </c>
      <c r="V923" s="27" t="str">
        <f t="shared" si="394"/>
        <v xml:space="preserve"> </v>
      </c>
      <c r="W923" s="27">
        <f t="shared" si="394"/>
        <v>1</v>
      </c>
    </row>
    <row r="924" spans="1:23" ht="58.5" customHeight="1" x14ac:dyDescent="0.2">
      <c r="A924" s="72">
        <v>1143</v>
      </c>
      <c r="B924" s="76">
        <v>31003</v>
      </c>
      <c r="C924" s="1" t="s">
        <v>813</v>
      </c>
      <c r="D924" s="5">
        <f t="shared" ref="D924" si="400">SUM(E924:H924)</f>
        <v>0</v>
      </c>
      <c r="E924" s="6"/>
      <c r="F924" s="6"/>
      <c r="G924" s="6"/>
      <c r="H924" s="7"/>
      <c r="I924" s="5">
        <f t="shared" ref="I924" si="401">SUM(J924:M924)</f>
        <v>810</v>
      </c>
      <c r="J924" s="6"/>
      <c r="K924" s="6"/>
      <c r="L924" s="6"/>
      <c r="M924" s="7">
        <v>810</v>
      </c>
      <c r="N924" s="5">
        <f>SUM(O924:R924)</f>
        <v>809.7</v>
      </c>
      <c r="O924" s="6"/>
      <c r="P924" s="6"/>
      <c r="Q924" s="6"/>
      <c r="R924" s="7">
        <v>809.7</v>
      </c>
      <c r="S924" s="26">
        <f t="shared" si="391"/>
        <v>0.99962962962962965</v>
      </c>
      <c r="T924" s="27" t="str">
        <f t="shared" si="392"/>
        <v xml:space="preserve"> </v>
      </c>
      <c r="U924" s="27" t="str">
        <f t="shared" si="393"/>
        <v xml:space="preserve"> </v>
      </c>
      <c r="V924" s="27" t="str">
        <f t="shared" si="394"/>
        <v xml:space="preserve"> </v>
      </c>
      <c r="W924" s="27">
        <f t="shared" si="394"/>
        <v>0.99962962962962965</v>
      </c>
    </row>
    <row r="925" spans="1:23" s="38" customFormat="1" ht="52.5" customHeight="1" x14ac:dyDescent="0.2">
      <c r="A925" s="72"/>
      <c r="B925" s="73"/>
      <c r="C925" s="89" t="s">
        <v>22</v>
      </c>
      <c r="D925" s="5">
        <f>D927</f>
        <v>11047</v>
      </c>
      <c r="E925" s="6">
        <f t="shared" ref="E925:G925" si="402">E927</f>
        <v>0</v>
      </c>
      <c r="F925" s="6">
        <f t="shared" si="402"/>
        <v>0</v>
      </c>
      <c r="G925" s="6">
        <f t="shared" si="402"/>
        <v>0</v>
      </c>
      <c r="H925" s="7">
        <f>H927</f>
        <v>11047</v>
      </c>
      <c r="I925" s="5">
        <f>I927</f>
        <v>11047</v>
      </c>
      <c r="J925" s="6">
        <f t="shared" ref="J925:L925" si="403">J927</f>
        <v>0</v>
      </c>
      <c r="K925" s="6">
        <f t="shared" si="403"/>
        <v>0</v>
      </c>
      <c r="L925" s="6">
        <f t="shared" si="403"/>
        <v>0</v>
      </c>
      <c r="M925" s="7">
        <f>M927</f>
        <v>11047</v>
      </c>
      <c r="N925" s="5">
        <f>N927</f>
        <v>10469.16</v>
      </c>
      <c r="O925" s="6">
        <f t="shared" ref="O925:Q925" si="404">O927</f>
        <v>0</v>
      </c>
      <c r="P925" s="6">
        <f t="shared" si="404"/>
        <v>0</v>
      </c>
      <c r="Q925" s="6">
        <f t="shared" si="404"/>
        <v>0</v>
      </c>
      <c r="R925" s="7">
        <f>R927</f>
        <v>10469.16</v>
      </c>
      <c r="S925" s="26">
        <f t="shared" si="391"/>
        <v>0.94769258622250385</v>
      </c>
      <c r="T925" s="27" t="str">
        <f t="shared" si="392"/>
        <v xml:space="preserve"> </v>
      </c>
      <c r="U925" s="27" t="str">
        <f t="shared" si="393"/>
        <v xml:space="preserve"> </v>
      </c>
      <c r="V925" s="27" t="str">
        <f t="shared" si="394"/>
        <v xml:space="preserve"> </v>
      </c>
      <c r="W925" s="27">
        <f t="shared" si="394"/>
        <v>0.94769258622250385</v>
      </c>
    </row>
    <row r="926" spans="1:23" ht="24.75" customHeight="1" x14ac:dyDescent="0.2">
      <c r="A926" s="74"/>
      <c r="B926" s="75"/>
      <c r="C926" s="4" t="s">
        <v>10</v>
      </c>
      <c r="D926" s="35"/>
      <c r="E926" s="36"/>
      <c r="F926" s="36"/>
      <c r="G926" s="36"/>
      <c r="H926" s="37"/>
      <c r="I926" s="35"/>
      <c r="J926" s="36"/>
      <c r="K926" s="36"/>
      <c r="L926" s="36"/>
      <c r="M926" s="37"/>
      <c r="N926" s="35"/>
      <c r="O926" s="36"/>
      <c r="P926" s="36"/>
      <c r="Q926" s="36"/>
      <c r="R926" s="37"/>
      <c r="S926" s="29" t="str">
        <f t="shared" si="391"/>
        <v xml:space="preserve"> </v>
      </c>
      <c r="T926" s="30" t="str">
        <f t="shared" si="392"/>
        <v xml:space="preserve"> </v>
      </c>
      <c r="U926" s="30" t="str">
        <f t="shared" si="393"/>
        <v xml:space="preserve"> </v>
      </c>
      <c r="V926" s="30" t="str">
        <f t="shared" si="394"/>
        <v xml:space="preserve"> </v>
      </c>
      <c r="W926" s="30" t="str">
        <f t="shared" si="394"/>
        <v xml:space="preserve"> </v>
      </c>
    </row>
    <row r="927" spans="1:23" ht="75.75" customHeight="1" x14ac:dyDescent="0.2">
      <c r="A927" s="72">
        <v>1064</v>
      </c>
      <c r="B927" s="76">
        <v>31001</v>
      </c>
      <c r="C927" s="1" t="s">
        <v>87</v>
      </c>
      <c r="D927" s="5">
        <f t="shared" ref="D927" si="405">SUM(E927:H927)</f>
        <v>11047</v>
      </c>
      <c r="E927" s="6"/>
      <c r="F927" s="6"/>
      <c r="G927" s="6"/>
      <c r="H927" s="7">
        <v>11047</v>
      </c>
      <c r="I927" s="5">
        <f t="shared" ref="I927" si="406">SUM(J927:M927)</f>
        <v>11047</v>
      </c>
      <c r="J927" s="6"/>
      <c r="K927" s="6"/>
      <c r="L927" s="6"/>
      <c r="M927" s="7">
        <v>11047</v>
      </c>
      <c r="N927" s="5">
        <f>SUM(O927:R927)</f>
        <v>10469.16</v>
      </c>
      <c r="O927" s="6"/>
      <c r="P927" s="6"/>
      <c r="Q927" s="6"/>
      <c r="R927" s="7">
        <v>10469.16</v>
      </c>
      <c r="S927" s="26">
        <f t="shared" si="391"/>
        <v>0.94769258622250385</v>
      </c>
      <c r="T927" s="27" t="str">
        <f t="shared" si="392"/>
        <v xml:space="preserve"> </v>
      </c>
      <c r="U927" s="27" t="str">
        <f t="shared" si="393"/>
        <v xml:space="preserve"> </v>
      </c>
      <c r="V927" s="27" t="str">
        <f t="shared" si="394"/>
        <v xml:space="preserve"> </v>
      </c>
      <c r="W927" s="27">
        <f t="shared" si="394"/>
        <v>0.94769258622250385</v>
      </c>
    </row>
    <row r="928" spans="1:23" s="38" customFormat="1" ht="30.75" customHeight="1" x14ac:dyDescent="0.2">
      <c r="A928" s="72"/>
      <c r="B928" s="73"/>
      <c r="C928" s="89" t="s">
        <v>44</v>
      </c>
      <c r="D928" s="5">
        <f>SUM(D930,D933,D934,D935,D938,D939)</f>
        <v>614981.19999999995</v>
      </c>
      <c r="E928" s="6">
        <f t="shared" ref="E928:R928" si="407">SUM(E930,E933,E934,E935,E938,E939)</f>
        <v>0</v>
      </c>
      <c r="F928" s="6">
        <f t="shared" si="407"/>
        <v>188000</v>
      </c>
      <c r="G928" s="6">
        <f t="shared" si="407"/>
        <v>276981.2</v>
      </c>
      <c r="H928" s="7">
        <f t="shared" si="407"/>
        <v>150000</v>
      </c>
      <c r="I928" s="5">
        <f t="shared" si="407"/>
        <v>744008.39999999991</v>
      </c>
      <c r="J928" s="6">
        <f t="shared" si="407"/>
        <v>0</v>
      </c>
      <c r="K928" s="6">
        <f t="shared" si="407"/>
        <v>152000</v>
      </c>
      <c r="L928" s="6">
        <f t="shared" si="407"/>
        <v>397830.80000000005</v>
      </c>
      <c r="M928" s="7">
        <f t="shared" si="407"/>
        <v>194177.6</v>
      </c>
      <c r="N928" s="5">
        <f t="shared" si="407"/>
        <v>711018.48</v>
      </c>
      <c r="O928" s="6">
        <f t="shared" si="407"/>
        <v>0</v>
      </c>
      <c r="P928" s="6">
        <f t="shared" si="407"/>
        <v>121767.7</v>
      </c>
      <c r="Q928" s="6">
        <f t="shared" si="407"/>
        <v>395629.54000000004</v>
      </c>
      <c r="R928" s="7">
        <f t="shared" si="407"/>
        <v>193621.24</v>
      </c>
      <c r="S928" s="26">
        <f t="shared" si="391"/>
        <v>0.95565921029923862</v>
      </c>
      <c r="T928" s="27" t="str">
        <f t="shared" si="392"/>
        <v xml:space="preserve"> </v>
      </c>
      <c r="U928" s="27">
        <f t="shared" si="393"/>
        <v>0.80110328947368414</v>
      </c>
      <c r="V928" s="27">
        <f t="shared" si="394"/>
        <v>0.99446684369334903</v>
      </c>
      <c r="W928" s="27">
        <f t="shared" si="394"/>
        <v>0.9971347879467044</v>
      </c>
    </row>
    <row r="929" spans="1:23" ht="16.5" x14ac:dyDescent="0.2">
      <c r="A929" s="74"/>
      <c r="B929" s="75"/>
      <c r="C929" s="4" t="s">
        <v>10</v>
      </c>
      <c r="D929" s="35"/>
      <c r="E929" s="36"/>
      <c r="F929" s="36"/>
      <c r="G929" s="36"/>
      <c r="H929" s="37"/>
      <c r="I929" s="35"/>
      <c r="J929" s="36"/>
      <c r="K929" s="36"/>
      <c r="L929" s="36"/>
      <c r="M929" s="37"/>
      <c r="N929" s="35"/>
      <c r="O929" s="36"/>
      <c r="P929" s="36"/>
      <c r="Q929" s="36"/>
      <c r="R929" s="37"/>
      <c r="S929" s="29" t="str">
        <f t="shared" si="391"/>
        <v xml:space="preserve"> </v>
      </c>
      <c r="T929" s="30" t="str">
        <f t="shared" si="392"/>
        <v xml:space="preserve"> </v>
      </c>
      <c r="U929" s="30" t="str">
        <f t="shared" si="393"/>
        <v xml:space="preserve"> </v>
      </c>
      <c r="V929" s="30" t="str">
        <f t="shared" si="394"/>
        <v xml:space="preserve"> </v>
      </c>
      <c r="W929" s="30" t="str">
        <f t="shared" si="394"/>
        <v xml:space="preserve"> </v>
      </c>
    </row>
    <row r="930" spans="1:23" ht="57.75" customHeight="1" x14ac:dyDescent="0.2">
      <c r="A930" s="72">
        <v>1012</v>
      </c>
      <c r="B930" s="76">
        <v>31001</v>
      </c>
      <c r="C930" s="1" t="s">
        <v>54</v>
      </c>
      <c r="D930" s="5">
        <f>SUM(E930:H930)</f>
        <v>188000</v>
      </c>
      <c r="E930" s="6"/>
      <c r="F930" s="6">
        <f>F932</f>
        <v>188000</v>
      </c>
      <c r="G930" s="6">
        <f t="shared" ref="G930:H930" si="408">G932</f>
        <v>0</v>
      </c>
      <c r="H930" s="7">
        <f t="shared" si="408"/>
        <v>0</v>
      </c>
      <c r="I930" s="5">
        <f>SUM(J930:M930)</f>
        <v>152000</v>
      </c>
      <c r="J930" s="6"/>
      <c r="K930" s="6">
        <f>K932</f>
        <v>152000</v>
      </c>
      <c r="L930" s="6">
        <f t="shared" ref="L930:M930" si="409">L932</f>
        <v>0</v>
      </c>
      <c r="M930" s="7">
        <f t="shared" si="409"/>
        <v>0</v>
      </c>
      <c r="N930" s="5">
        <f>SUM(O930:R930)</f>
        <v>121767.7</v>
      </c>
      <c r="O930" s="6"/>
      <c r="P930" s="6">
        <f>P932</f>
        <v>121767.7</v>
      </c>
      <c r="Q930" s="6">
        <f t="shared" ref="Q930:R930" si="410">Q932</f>
        <v>0</v>
      </c>
      <c r="R930" s="7">
        <f t="shared" si="410"/>
        <v>0</v>
      </c>
      <c r="S930" s="26">
        <f t="shared" si="391"/>
        <v>0.80110328947368414</v>
      </c>
      <c r="T930" s="27" t="str">
        <f t="shared" si="392"/>
        <v xml:space="preserve"> </v>
      </c>
      <c r="U930" s="27">
        <f t="shared" si="393"/>
        <v>0.80110328947368414</v>
      </c>
      <c r="V930" s="27" t="str">
        <f t="shared" si="394"/>
        <v xml:space="preserve"> </v>
      </c>
      <c r="W930" s="27" t="str">
        <f t="shared" si="394"/>
        <v xml:space="preserve"> </v>
      </c>
    </row>
    <row r="931" spans="1:23" ht="26.25" customHeight="1" x14ac:dyDescent="0.2">
      <c r="A931" s="74"/>
      <c r="B931" s="75"/>
      <c r="C931" s="4" t="s">
        <v>10</v>
      </c>
      <c r="D931" s="35"/>
      <c r="E931" s="36"/>
      <c r="F931" s="36"/>
      <c r="G931" s="36"/>
      <c r="H931" s="37"/>
      <c r="I931" s="35"/>
      <c r="J931" s="36"/>
      <c r="K931" s="36"/>
      <c r="L931" s="36"/>
      <c r="M931" s="37"/>
      <c r="N931" s="35"/>
      <c r="O931" s="36"/>
      <c r="P931" s="36"/>
      <c r="Q931" s="36"/>
      <c r="R931" s="37"/>
      <c r="S931" s="29" t="str">
        <f t="shared" si="391"/>
        <v xml:space="preserve"> </v>
      </c>
      <c r="T931" s="30" t="str">
        <f t="shared" si="392"/>
        <v xml:space="preserve"> </v>
      </c>
      <c r="U931" s="30" t="str">
        <f t="shared" si="393"/>
        <v xml:space="preserve"> </v>
      </c>
      <c r="V931" s="30" t="str">
        <f t="shared" si="394"/>
        <v xml:space="preserve"> </v>
      </c>
      <c r="W931" s="30" t="str">
        <f t="shared" si="394"/>
        <v xml:space="preserve"> </v>
      </c>
    </row>
    <row r="932" spans="1:23" ht="93.75" customHeight="1" x14ac:dyDescent="0.2">
      <c r="A932" s="74"/>
      <c r="B932" s="75"/>
      <c r="C932" s="4" t="s">
        <v>174</v>
      </c>
      <c r="D932" s="35">
        <f>SUM(E932:H932)</f>
        <v>188000</v>
      </c>
      <c r="E932" s="36"/>
      <c r="F932" s="36">
        <v>188000</v>
      </c>
      <c r="G932" s="36"/>
      <c r="H932" s="37"/>
      <c r="I932" s="35">
        <f>SUM(J932:M932)</f>
        <v>152000</v>
      </c>
      <c r="J932" s="36"/>
      <c r="K932" s="36">
        <v>152000</v>
      </c>
      <c r="L932" s="36"/>
      <c r="M932" s="37"/>
      <c r="N932" s="35">
        <f>SUM(O932:R932)</f>
        <v>121767.7</v>
      </c>
      <c r="O932" s="36"/>
      <c r="P932" s="36">
        <v>121767.7</v>
      </c>
      <c r="Q932" s="36"/>
      <c r="R932" s="37"/>
      <c r="S932" s="29">
        <f t="shared" si="391"/>
        <v>0.80110328947368414</v>
      </c>
      <c r="T932" s="30" t="str">
        <f t="shared" si="392"/>
        <v xml:space="preserve"> </v>
      </c>
      <c r="U932" s="30">
        <f t="shared" si="393"/>
        <v>0.80110328947368414</v>
      </c>
      <c r="V932" s="30" t="str">
        <f t="shared" si="394"/>
        <v xml:space="preserve"> </v>
      </c>
      <c r="W932" s="30" t="str">
        <f t="shared" si="394"/>
        <v xml:space="preserve"> </v>
      </c>
    </row>
    <row r="933" spans="1:23" ht="43.5" customHeight="1" x14ac:dyDescent="0.2">
      <c r="A933" s="72">
        <v>1012</v>
      </c>
      <c r="B933" s="76">
        <v>31002</v>
      </c>
      <c r="C933" s="1" t="s">
        <v>43</v>
      </c>
      <c r="D933" s="5">
        <f>SUM(E933:H933)</f>
        <v>150000</v>
      </c>
      <c r="E933" s="6"/>
      <c r="F933" s="6"/>
      <c r="G933" s="6"/>
      <c r="H933" s="7">
        <v>150000</v>
      </c>
      <c r="I933" s="5">
        <f>SUM(J933:M933)</f>
        <v>194177.6</v>
      </c>
      <c r="J933" s="6"/>
      <c r="K933" s="6"/>
      <c r="L933" s="6"/>
      <c r="M933" s="7">
        <v>194177.6</v>
      </c>
      <c r="N933" s="5">
        <f>SUM(O933:R933)</f>
        <v>193621.24</v>
      </c>
      <c r="O933" s="6"/>
      <c r="P933" s="6"/>
      <c r="Q933" s="6"/>
      <c r="R933" s="7">
        <v>193621.24</v>
      </c>
      <c r="S933" s="26">
        <f t="shared" si="391"/>
        <v>0.9971347879467044</v>
      </c>
      <c r="T933" s="27" t="str">
        <f t="shared" si="392"/>
        <v xml:space="preserve"> </v>
      </c>
      <c r="U933" s="27" t="str">
        <f t="shared" si="393"/>
        <v xml:space="preserve"> </v>
      </c>
      <c r="V933" s="27" t="str">
        <f t="shared" si="394"/>
        <v xml:space="preserve"> </v>
      </c>
      <c r="W933" s="27">
        <f t="shared" si="394"/>
        <v>0.9971347879467044</v>
      </c>
    </row>
    <row r="934" spans="1:23" ht="86.25" customHeight="1" x14ac:dyDescent="0.2">
      <c r="A934" s="72">
        <v>1012</v>
      </c>
      <c r="B934" s="76">
        <v>31004</v>
      </c>
      <c r="C934" s="1" t="s">
        <v>56</v>
      </c>
      <c r="D934" s="5">
        <f>SUM(E934:H934)</f>
        <v>70000</v>
      </c>
      <c r="E934" s="6"/>
      <c r="F934" s="6"/>
      <c r="G934" s="6">
        <v>70000</v>
      </c>
      <c r="H934" s="7"/>
      <c r="I934" s="5">
        <f>SUM(J934:M934)</f>
        <v>0</v>
      </c>
      <c r="J934" s="6"/>
      <c r="K934" s="6"/>
      <c r="L934" s="6"/>
      <c r="M934" s="7"/>
      <c r="N934" s="5">
        <f>SUM(O934:R934)</f>
        <v>0</v>
      </c>
      <c r="O934" s="6"/>
      <c r="P934" s="6"/>
      <c r="Q934" s="6"/>
      <c r="R934" s="7"/>
      <c r="S934" s="26" t="str">
        <f t="shared" si="391"/>
        <v xml:space="preserve"> </v>
      </c>
      <c r="T934" s="27" t="str">
        <f t="shared" si="392"/>
        <v xml:space="preserve"> </v>
      </c>
      <c r="U934" s="27" t="str">
        <f t="shared" si="393"/>
        <v xml:space="preserve"> </v>
      </c>
      <c r="V934" s="27" t="str">
        <f t="shared" si="394"/>
        <v xml:space="preserve"> </v>
      </c>
      <c r="W934" s="27" t="str">
        <f t="shared" si="394"/>
        <v xml:space="preserve"> </v>
      </c>
    </row>
    <row r="935" spans="1:23" ht="69" customHeight="1" x14ac:dyDescent="0.2">
      <c r="A935" s="72">
        <v>1012</v>
      </c>
      <c r="B935" s="76">
        <v>31007</v>
      </c>
      <c r="C935" s="1" t="s">
        <v>55</v>
      </c>
      <c r="D935" s="5">
        <f>D937</f>
        <v>25000</v>
      </c>
      <c r="E935" s="6"/>
      <c r="F935" s="6"/>
      <c r="G935" s="6">
        <f t="shared" ref="G935" si="411">G937</f>
        <v>25000</v>
      </c>
      <c r="H935" s="7"/>
      <c r="I935" s="5">
        <f>I937</f>
        <v>600</v>
      </c>
      <c r="J935" s="6"/>
      <c r="K935" s="6"/>
      <c r="L935" s="6">
        <f t="shared" ref="L935" si="412">L937</f>
        <v>600</v>
      </c>
      <c r="M935" s="7"/>
      <c r="N935" s="5">
        <f>N937</f>
        <v>600</v>
      </c>
      <c r="O935" s="6"/>
      <c r="P935" s="6"/>
      <c r="Q935" s="6">
        <f t="shared" ref="Q935" si="413">Q937</f>
        <v>600</v>
      </c>
      <c r="R935" s="7"/>
      <c r="S935" s="26">
        <f t="shared" si="391"/>
        <v>1</v>
      </c>
      <c r="T935" s="27" t="str">
        <f t="shared" si="392"/>
        <v xml:space="preserve"> </v>
      </c>
      <c r="U935" s="27" t="str">
        <f t="shared" si="393"/>
        <v xml:space="preserve"> </v>
      </c>
      <c r="V935" s="27">
        <f t="shared" si="394"/>
        <v>1</v>
      </c>
      <c r="W935" s="27" t="str">
        <f t="shared" si="394"/>
        <v xml:space="preserve"> </v>
      </c>
    </row>
    <row r="936" spans="1:23" ht="22.5" customHeight="1" x14ac:dyDescent="0.2">
      <c r="A936" s="74"/>
      <c r="B936" s="75"/>
      <c r="C936" s="4" t="s">
        <v>10</v>
      </c>
      <c r="D936" s="35"/>
      <c r="E936" s="36"/>
      <c r="F936" s="36"/>
      <c r="G936" s="36"/>
      <c r="H936" s="37"/>
      <c r="I936" s="35"/>
      <c r="J936" s="36"/>
      <c r="K936" s="36"/>
      <c r="L936" s="36"/>
      <c r="M936" s="37"/>
      <c r="N936" s="35"/>
      <c r="O936" s="36"/>
      <c r="P936" s="36"/>
      <c r="Q936" s="36"/>
      <c r="R936" s="37"/>
      <c r="S936" s="29" t="str">
        <f t="shared" si="391"/>
        <v xml:space="preserve"> </v>
      </c>
      <c r="T936" s="30" t="str">
        <f t="shared" si="392"/>
        <v xml:space="preserve"> </v>
      </c>
      <c r="U936" s="30" t="str">
        <f t="shared" si="393"/>
        <v xml:space="preserve"> </v>
      </c>
      <c r="V936" s="30" t="str">
        <f t="shared" si="394"/>
        <v xml:space="preserve"> </v>
      </c>
      <c r="W936" s="30" t="str">
        <f t="shared" si="394"/>
        <v xml:space="preserve"> </v>
      </c>
    </row>
    <row r="937" spans="1:23" ht="118.5" customHeight="1" x14ac:dyDescent="0.2">
      <c r="A937" s="74"/>
      <c r="B937" s="75"/>
      <c r="C937" s="4" t="s">
        <v>91</v>
      </c>
      <c r="D937" s="35">
        <f>SUM(E937:H937)</f>
        <v>25000</v>
      </c>
      <c r="E937" s="36"/>
      <c r="F937" s="36"/>
      <c r="G937" s="36">
        <v>25000</v>
      </c>
      <c r="H937" s="37"/>
      <c r="I937" s="35">
        <f>SUM(J937:M937)</f>
        <v>600</v>
      </c>
      <c r="J937" s="36"/>
      <c r="K937" s="36"/>
      <c r="L937" s="36">
        <v>600</v>
      </c>
      <c r="M937" s="37"/>
      <c r="N937" s="35">
        <f>SUM(O937:R937)</f>
        <v>600</v>
      </c>
      <c r="O937" s="36"/>
      <c r="P937" s="36"/>
      <c r="Q937" s="36">
        <v>600</v>
      </c>
      <c r="R937" s="37"/>
      <c r="S937" s="29">
        <f t="shared" si="391"/>
        <v>1</v>
      </c>
      <c r="T937" s="30" t="str">
        <f t="shared" si="392"/>
        <v xml:space="preserve"> </v>
      </c>
      <c r="U937" s="30" t="str">
        <f t="shared" si="393"/>
        <v xml:space="preserve"> </v>
      </c>
      <c r="V937" s="30">
        <f t="shared" si="394"/>
        <v>1</v>
      </c>
      <c r="W937" s="30" t="str">
        <f t="shared" si="394"/>
        <v xml:space="preserve"> </v>
      </c>
    </row>
    <row r="938" spans="1:23" ht="82.5" customHeight="1" x14ac:dyDescent="0.2">
      <c r="A938" s="72">
        <v>1012</v>
      </c>
      <c r="B938" s="76">
        <v>31009</v>
      </c>
      <c r="C938" s="1" t="s">
        <v>219</v>
      </c>
      <c r="D938" s="5">
        <f>SUM(E938:H938)</f>
        <v>0</v>
      </c>
      <c r="E938" s="6"/>
      <c r="F938" s="6"/>
      <c r="G938" s="6"/>
      <c r="H938" s="7"/>
      <c r="I938" s="5">
        <f>SUM(J938:M938)</f>
        <v>215249.6</v>
      </c>
      <c r="J938" s="6"/>
      <c r="K938" s="6"/>
      <c r="L938" s="6">
        <v>215249.6</v>
      </c>
      <c r="M938" s="7"/>
      <c r="N938" s="5">
        <f>SUM(O938:R938)</f>
        <v>215249.54</v>
      </c>
      <c r="O938" s="6"/>
      <c r="P938" s="6"/>
      <c r="Q938" s="6">
        <v>215249.54</v>
      </c>
      <c r="R938" s="7"/>
      <c r="S938" s="26">
        <f t="shared" si="391"/>
        <v>0.9999997212538374</v>
      </c>
      <c r="T938" s="27" t="str">
        <f t="shared" si="392"/>
        <v xml:space="preserve"> </v>
      </c>
      <c r="U938" s="27" t="str">
        <f t="shared" si="393"/>
        <v xml:space="preserve"> </v>
      </c>
      <c r="V938" s="27">
        <f t="shared" si="394"/>
        <v>0.9999997212538374</v>
      </c>
      <c r="W938" s="27" t="str">
        <f t="shared" si="394"/>
        <v xml:space="preserve"> </v>
      </c>
    </row>
    <row r="939" spans="1:23" ht="69.75" customHeight="1" x14ac:dyDescent="0.2">
      <c r="A939" s="72">
        <v>1012</v>
      </c>
      <c r="B939" s="76">
        <v>31013</v>
      </c>
      <c r="C939" s="1" t="s">
        <v>57</v>
      </c>
      <c r="D939" s="5">
        <f>SUM(E939:H939)</f>
        <v>181981.2</v>
      </c>
      <c r="E939" s="6"/>
      <c r="F939" s="6"/>
      <c r="G939" s="6">
        <v>181981.2</v>
      </c>
      <c r="H939" s="7"/>
      <c r="I939" s="5">
        <f>SUM(J939:M939)</f>
        <v>181981.2</v>
      </c>
      <c r="J939" s="6"/>
      <c r="K939" s="6"/>
      <c r="L939" s="6">
        <v>181981.2</v>
      </c>
      <c r="M939" s="7"/>
      <c r="N939" s="5">
        <f>SUM(O939:R939)</f>
        <v>179780</v>
      </c>
      <c r="O939" s="6"/>
      <c r="P939" s="6"/>
      <c r="Q939" s="6">
        <v>179780</v>
      </c>
      <c r="R939" s="7"/>
      <c r="S939" s="26">
        <f t="shared" si="391"/>
        <v>0.98790424505388463</v>
      </c>
      <c r="T939" s="27" t="str">
        <f t="shared" si="392"/>
        <v xml:space="preserve"> </v>
      </c>
      <c r="U939" s="27" t="str">
        <f t="shared" si="393"/>
        <v xml:space="preserve"> </v>
      </c>
      <c r="V939" s="27">
        <f t="shared" si="394"/>
        <v>0.98790424505388463</v>
      </c>
      <c r="W939" s="27" t="str">
        <f t="shared" si="394"/>
        <v xml:space="preserve"> </v>
      </c>
    </row>
    <row r="940" spans="1:23" s="38" customFormat="1" ht="46.5" customHeight="1" x14ac:dyDescent="0.2">
      <c r="A940" s="72"/>
      <c r="B940" s="73"/>
      <c r="C940" s="89" t="s">
        <v>88</v>
      </c>
      <c r="D940" s="5">
        <f t="shared" ref="D940:G940" si="414">D942</f>
        <v>2680</v>
      </c>
      <c r="E940" s="6">
        <f t="shared" si="414"/>
        <v>0</v>
      </c>
      <c r="F940" s="6">
        <f t="shared" si="414"/>
        <v>0</v>
      </c>
      <c r="G940" s="6">
        <f t="shared" si="414"/>
        <v>0</v>
      </c>
      <c r="H940" s="7">
        <f>H942</f>
        <v>2680</v>
      </c>
      <c r="I940" s="5">
        <f t="shared" ref="I940:L940" si="415">I942</f>
        <v>3834.4</v>
      </c>
      <c r="J940" s="6">
        <f t="shared" si="415"/>
        <v>0</v>
      </c>
      <c r="K940" s="6">
        <f t="shared" si="415"/>
        <v>0</v>
      </c>
      <c r="L940" s="6">
        <f t="shared" si="415"/>
        <v>0</v>
      </c>
      <c r="M940" s="7">
        <f>M942</f>
        <v>3834.4</v>
      </c>
      <c r="N940" s="5">
        <f t="shared" ref="N940:Q940" si="416">N942</f>
        <v>3720.26</v>
      </c>
      <c r="O940" s="6">
        <f t="shared" si="416"/>
        <v>0</v>
      </c>
      <c r="P940" s="6">
        <f t="shared" si="416"/>
        <v>0</v>
      </c>
      <c r="Q940" s="6">
        <f t="shared" si="416"/>
        <v>0</v>
      </c>
      <c r="R940" s="7">
        <f>R942</f>
        <v>3720.26</v>
      </c>
      <c r="S940" s="26">
        <f t="shared" si="391"/>
        <v>0.97023263092009182</v>
      </c>
      <c r="T940" s="27" t="str">
        <f t="shared" si="392"/>
        <v xml:space="preserve"> </v>
      </c>
      <c r="U940" s="27" t="str">
        <f t="shared" si="393"/>
        <v xml:space="preserve"> </v>
      </c>
      <c r="V940" s="27" t="str">
        <f t="shared" si="394"/>
        <v xml:space="preserve"> </v>
      </c>
      <c r="W940" s="27">
        <f t="shared" si="394"/>
        <v>0.97023263092009182</v>
      </c>
    </row>
    <row r="941" spans="1:23" ht="16.5" x14ac:dyDescent="0.2">
      <c r="A941" s="74"/>
      <c r="B941" s="75"/>
      <c r="C941" s="4" t="s">
        <v>10</v>
      </c>
      <c r="D941" s="35"/>
      <c r="E941" s="36"/>
      <c r="F941" s="36"/>
      <c r="G941" s="36"/>
      <c r="H941" s="37"/>
      <c r="I941" s="35"/>
      <c r="J941" s="36"/>
      <c r="K941" s="36"/>
      <c r="L941" s="36"/>
      <c r="M941" s="37"/>
      <c r="N941" s="35"/>
      <c r="O941" s="36"/>
      <c r="P941" s="36"/>
      <c r="Q941" s="36"/>
      <c r="R941" s="37"/>
      <c r="S941" s="29" t="str">
        <f t="shared" si="391"/>
        <v xml:space="preserve"> </v>
      </c>
      <c r="T941" s="30" t="str">
        <f t="shared" si="392"/>
        <v xml:space="preserve"> </v>
      </c>
      <c r="U941" s="30" t="str">
        <f t="shared" si="393"/>
        <v xml:space="preserve"> </v>
      </c>
      <c r="V941" s="30" t="str">
        <f t="shared" si="394"/>
        <v xml:space="preserve"> </v>
      </c>
      <c r="W941" s="30" t="str">
        <f t="shared" si="394"/>
        <v xml:space="preserve"> </v>
      </c>
    </row>
    <row r="942" spans="1:23" ht="66" customHeight="1" x14ac:dyDescent="0.2">
      <c r="A942" s="72">
        <v>1007</v>
      </c>
      <c r="B942" s="76">
        <v>31001</v>
      </c>
      <c r="C942" s="1" t="s">
        <v>89</v>
      </c>
      <c r="D942" s="5">
        <f t="shared" ref="D942" si="417">SUM(E942:H942)</f>
        <v>2680</v>
      </c>
      <c r="E942" s="6"/>
      <c r="F942" s="6"/>
      <c r="G942" s="6"/>
      <c r="H942" s="7">
        <v>2680</v>
      </c>
      <c r="I942" s="5">
        <f t="shared" ref="I942" si="418">SUM(J942:M942)</f>
        <v>3834.4</v>
      </c>
      <c r="J942" s="6"/>
      <c r="K942" s="6"/>
      <c r="L942" s="6"/>
      <c r="M942" s="7">
        <v>3834.4</v>
      </c>
      <c r="N942" s="5">
        <f>SUM(O942:R942)</f>
        <v>3720.26</v>
      </c>
      <c r="O942" s="6"/>
      <c r="P942" s="6"/>
      <c r="Q942" s="6"/>
      <c r="R942" s="7">
        <v>3720.26</v>
      </c>
      <c r="S942" s="26">
        <f t="shared" si="391"/>
        <v>0.97023263092009182</v>
      </c>
      <c r="T942" s="27" t="str">
        <f t="shared" si="392"/>
        <v xml:space="preserve"> </v>
      </c>
      <c r="U942" s="27" t="str">
        <f t="shared" si="393"/>
        <v xml:space="preserve"> </v>
      </c>
      <c r="V942" s="27" t="str">
        <f t="shared" si="394"/>
        <v xml:space="preserve"> </v>
      </c>
      <c r="W942" s="27">
        <f t="shared" si="394"/>
        <v>0.97023263092009182</v>
      </c>
    </row>
    <row r="943" spans="1:23" s="38" customFormat="1" ht="35.25" customHeight="1" x14ac:dyDescent="0.2">
      <c r="A943" s="72"/>
      <c r="B943" s="73"/>
      <c r="C943" s="89" t="s">
        <v>23</v>
      </c>
      <c r="D943" s="5">
        <f>SUM(D945,D946,D952,D961)</f>
        <v>2789366.8</v>
      </c>
      <c r="E943" s="6">
        <f>SUM(E945,E946,E952,E961)</f>
        <v>1425737</v>
      </c>
      <c r="F943" s="6">
        <f t="shared" ref="F943:R943" si="419">SUM(F945,F946,F952,F961)</f>
        <v>173150.3</v>
      </c>
      <c r="G943" s="6">
        <f t="shared" si="419"/>
        <v>18000</v>
      </c>
      <c r="H943" s="7">
        <f t="shared" si="419"/>
        <v>1172479.5</v>
      </c>
      <c r="I943" s="5">
        <f t="shared" si="419"/>
        <v>2742830</v>
      </c>
      <c r="J943" s="6">
        <f t="shared" si="419"/>
        <v>1248.8000000000002</v>
      </c>
      <c r="K943" s="6">
        <f t="shared" si="419"/>
        <v>152304.4</v>
      </c>
      <c r="L943" s="6">
        <f t="shared" si="419"/>
        <v>4388.1000000000004</v>
      </c>
      <c r="M943" s="7">
        <f t="shared" si="419"/>
        <v>2584888.7000000002</v>
      </c>
      <c r="N943" s="5">
        <f t="shared" si="419"/>
        <v>2507323.39</v>
      </c>
      <c r="O943" s="6">
        <f t="shared" si="419"/>
        <v>1225.1199999999999</v>
      </c>
      <c r="P943" s="6">
        <f t="shared" si="419"/>
        <v>140349.20000000001</v>
      </c>
      <c r="Q943" s="6">
        <f t="shared" si="419"/>
        <v>0</v>
      </c>
      <c r="R943" s="7">
        <f t="shared" si="419"/>
        <v>2365749.0699999998</v>
      </c>
      <c r="S943" s="26">
        <f t="shared" si="391"/>
        <v>0.91413736542184532</v>
      </c>
      <c r="T943" s="27">
        <f t="shared" si="392"/>
        <v>0.98103779628443277</v>
      </c>
      <c r="U943" s="27">
        <f t="shared" si="393"/>
        <v>0.92150456585627216</v>
      </c>
      <c r="V943" s="27">
        <f t="shared" si="394"/>
        <v>0</v>
      </c>
      <c r="W943" s="27">
        <f t="shared" si="394"/>
        <v>0.91522279856769062</v>
      </c>
    </row>
    <row r="944" spans="1:23" ht="28.5" customHeight="1" x14ac:dyDescent="0.2">
      <c r="A944" s="74"/>
      <c r="B944" s="75"/>
      <c r="C944" s="4" t="s">
        <v>10</v>
      </c>
      <c r="D944" s="35"/>
      <c r="E944" s="36"/>
      <c r="F944" s="36"/>
      <c r="G944" s="36"/>
      <c r="H944" s="37"/>
      <c r="I944" s="35"/>
      <c r="J944" s="36"/>
      <c r="K944" s="36"/>
      <c r="L944" s="36"/>
      <c r="M944" s="37"/>
      <c r="N944" s="35"/>
      <c r="O944" s="36"/>
      <c r="P944" s="36"/>
      <c r="Q944" s="36"/>
      <c r="R944" s="37"/>
      <c r="S944" s="29" t="str">
        <f t="shared" si="391"/>
        <v xml:space="preserve"> </v>
      </c>
      <c r="T944" s="30" t="str">
        <f t="shared" si="392"/>
        <v xml:space="preserve"> </v>
      </c>
      <c r="U944" s="30" t="str">
        <f t="shared" si="393"/>
        <v xml:space="preserve"> </v>
      </c>
      <c r="V944" s="30" t="str">
        <f t="shared" si="394"/>
        <v xml:space="preserve"> </v>
      </c>
      <c r="W944" s="30" t="str">
        <f t="shared" si="394"/>
        <v xml:space="preserve"> </v>
      </c>
    </row>
    <row r="945" spans="1:23" ht="66" customHeight="1" x14ac:dyDescent="0.2">
      <c r="A945" s="72">
        <v>1023</v>
      </c>
      <c r="B945" s="76">
        <v>31001</v>
      </c>
      <c r="C945" s="1" t="s">
        <v>71</v>
      </c>
      <c r="D945" s="5">
        <f>SUM(E945:H945)</f>
        <v>1172479.5</v>
      </c>
      <c r="E945" s="6"/>
      <c r="F945" s="6"/>
      <c r="G945" s="6"/>
      <c r="H945" s="7">
        <v>1172479.5</v>
      </c>
      <c r="I945" s="5">
        <f>SUM(J945:M945)</f>
        <v>2579783.7000000002</v>
      </c>
      <c r="J945" s="6"/>
      <c r="K945" s="6"/>
      <c r="L945" s="6"/>
      <c r="M945" s="7">
        <v>2579783.7000000002</v>
      </c>
      <c r="N945" s="5">
        <f>SUM(O945:R945)</f>
        <v>2360644.0699999998</v>
      </c>
      <c r="O945" s="6"/>
      <c r="P945" s="6"/>
      <c r="Q945" s="6"/>
      <c r="R945" s="7">
        <v>2360644.0699999998</v>
      </c>
      <c r="S945" s="26">
        <f t="shared" si="391"/>
        <v>0.91505503736611704</v>
      </c>
      <c r="T945" s="27" t="str">
        <f t="shared" si="392"/>
        <v xml:space="preserve"> </v>
      </c>
      <c r="U945" s="27" t="str">
        <f t="shared" si="393"/>
        <v xml:space="preserve"> </v>
      </c>
      <c r="V945" s="27" t="str">
        <f t="shared" si="394"/>
        <v xml:space="preserve"> </v>
      </c>
      <c r="W945" s="27">
        <f t="shared" si="394"/>
        <v>0.91505503736611704</v>
      </c>
    </row>
    <row r="946" spans="1:23" ht="66.75" customHeight="1" x14ac:dyDescent="0.2">
      <c r="A946" s="72">
        <v>1023</v>
      </c>
      <c r="B946" s="76">
        <v>31003</v>
      </c>
      <c r="C946" s="1" t="s">
        <v>24</v>
      </c>
      <c r="D946" s="5">
        <f>SUM(E946:H946)</f>
        <v>1443737</v>
      </c>
      <c r="E946" s="6">
        <f>SUM(E948:E951)</f>
        <v>1425737</v>
      </c>
      <c r="F946" s="6">
        <f t="shared" ref="F946:H946" si="420">SUM(F948:F951)</f>
        <v>0</v>
      </c>
      <c r="G946" s="6">
        <f t="shared" si="420"/>
        <v>18000</v>
      </c>
      <c r="H946" s="7">
        <f t="shared" si="420"/>
        <v>0</v>
      </c>
      <c r="I946" s="5">
        <f>SUM(J946:M946)</f>
        <v>5636.9000000000005</v>
      </c>
      <c r="J946" s="6">
        <f>SUM(J948:J951)</f>
        <v>1248.8000000000002</v>
      </c>
      <c r="K946" s="6">
        <f t="shared" ref="K946:M946" si="421">SUM(K948:K951)</f>
        <v>0</v>
      </c>
      <c r="L946" s="6">
        <f t="shared" si="421"/>
        <v>4388.1000000000004</v>
      </c>
      <c r="M946" s="7">
        <f t="shared" si="421"/>
        <v>0</v>
      </c>
      <c r="N946" s="5">
        <f>SUM(O946:R946)</f>
        <v>1225.1199999999999</v>
      </c>
      <c r="O946" s="6">
        <f>SUM(O948:O951)</f>
        <v>1225.1199999999999</v>
      </c>
      <c r="P946" s="6">
        <f t="shared" ref="P946:R946" si="422">SUM(P948:P951)</f>
        <v>0</v>
      </c>
      <c r="Q946" s="6">
        <f t="shared" si="422"/>
        <v>0</v>
      </c>
      <c r="R946" s="7">
        <f t="shared" si="422"/>
        <v>0</v>
      </c>
      <c r="S946" s="26">
        <f t="shared" si="391"/>
        <v>0.21733931771008883</v>
      </c>
      <c r="T946" s="27">
        <f t="shared" si="392"/>
        <v>0.98103779628443277</v>
      </c>
      <c r="U946" s="27" t="str">
        <f t="shared" si="393"/>
        <v xml:space="preserve"> </v>
      </c>
      <c r="V946" s="27">
        <f t="shared" si="394"/>
        <v>0</v>
      </c>
      <c r="W946" s="27" t="str">
        <f t="shared" si="394"/>
        <v xml:space="preserve"> </v>
      </c>
    </row>
    <row r="947" spans="1:23" ht="27" customHeight="1" x14ac:dyDescent="0.2">
      <c r="A947" s="74"/>
      <c r="B947" s="75"/>
      <c r="C947" s="4" t="s">
        <v>10</v>
      </c>
      <c r="D947" s="35"/>
      <c r="E947" s="36"/>
      <c r="F947" s="36"/>
      <c r="G947" s="36"/>
      <c r="H947" s="37"/>
      <c r="I947" s="35"/>
      <c r="J947" s="36"/>
      <c r="K947" s="36"/>
      <c r="L947" s="36"/>
      <c r="M947" s="37"/>
      <c r="N947" s="35"/>
      <c r="O947" s="36"/>
      <c r="P947" s="36"/>
      <c r="Q947" s="36"/>
      <c r="R947" s="37"/>
      <c r="S947" s="29" t="str">
        <f t="shared" si="391"/>
        <v xml:space="preserve"> </v>
      </c>
      <c r="T947" s="30" t="str">
        <f t="shared" si="392"/>
        <v xml:space="preserve"> </v>
      </c>
      <c r="U947" s="30" t="str">
        <f t="shared" si="393"/>
        <v xml:space="preserve"> </v>
      </c>
      <c r="V947" s="30" t="str">
        <f t="shared" si="394"/>
        <v xml:space="preserve"> </v>
      </c>
      <c r="W947" s="30" t="str">
        <f t="shared" si="394"/>
        <v xml:space="preserve"> </v>
      </c>
    </row>
    <row r="948" spans="1:23" ht="100.5" customHeight="1" x14ac:dyDescent="0.2">
      <c r="A948" s="74"/>
      <c r="B948" s="75"/>
      <c r="C948" s="4" t="s">
        <v>162</v>
      </c>
      <c r="D948" s="35">
        <f>SUM(E948:H948)</f>
        <v>1425737</v>
      </c>
      <c r="E948" s="36">
        <v>1425737</v>
      </c>
      <c r="F948" s="36"/>
      <c r="G948" s="36"/>
      <c r="H948" s="37"/>
      <c r="I948" s="35">
        <f>SUM(J948:M948)</f>
        <v>0.9</v>
      </c>
      <c r="J948" s="36">
        <v>0.9</v>
      </c>
      <c r="K948" s="36"/>
      <c r="L948" s="36"/>
      <c r="M948" s="37"/>
      <c r="N948" s="35">
        <f>SUM(O948:R948)</f>
        <v>0</v>
      </c>
      <c r="O948" s="36"/>
      <c r="P948" s="36"/>
      <c r="Q948" s="36"/>
      <c r="R948" s="37"/>
      <c r="S948" s="29">
        <f t="shared" si="391"/>
        <v>0</v>
      </c>
      <c r="T948" s="30">
        <f t="shared" si="392"/>
        <v>0</v>
      </c>
      <c r="U948" s="30" t="str">
        <f t="shared" si="393"/>
        <v xml:space="preserve"> </v>
      </c>
      <c r="V948" s="30" t="str">
        <f t="shared" si="394"/>
        <v xml:space="preserve"> </v>
      </c>
      <c r="W948" s="30" t="str">
        <f t="shared" si="394"/>
        <v xml:space="preserve"> </v>
      </c>
    </row>
    <row r="949" spans="1:23" ht="138.75" customHeight="1" x14ac:dyDescent="0.2">
      <c r="A949" s="80"/>
      <c r="B949" s="81"/>
      <c r="C949" s="4" t="s">
        <v>163</v>
      </c>
      <c r="D949" s="35">
        <f t="shared" ref="D949:D951" si="423">SUM(E949:H949)</f>
        <v>18000</v>
      </c>
      <c r="E949" s="36"/>
      <c r="F949" s="36"/>
      <c r="G949" s="36">
        <v>18000</v>
      </c>
      <c r="H949" s="37"/>
      <c r="I949" s="35">
        <f t="shared" ref="I949:I951" si="424">SUM(J949:M949)</f>
        <v>0</v>
      </c>
      <c r="J949" s="36"/>
      <c r="K949" s="36"/>
      <c r="L949" s="36"/>
      <c r="M949" s="37"/>
      <c r="N949" s="35">
        <f>SUM(O949:R949)</f>
        <v>0</v>
      </c>
      <c r="O949" s="36"/>
      <c r="P949" s="36"/>
      <c r="Q949" s="36"/>
      <c r="R949" s="37"/>
      <c r="S949" s="29" t="str">
        <f t="shared" si="391"/>
        <v xml:space="preserve"> </v>
      </c>
      <c r="T949" s="30" t="str">
        <f t="shared" si="392"/>
        <v xml:space="preserve"> </v>
      </c>
      <c r="U949" s="30" t="str">
        <f t="shared" si="393"/>
        <v xml:space="preserve"> </v>
      </c>
      <c r="V949" s="30" t="str">
        <f t="shared" si="394"/>
        <v xml:space="preserve"> </v>
      </c>
      <c r="W949" s="30" t="str">
        <f t="shared" si="394"/>
        <v xml:space="preserve"> </v>
      </c>
    </row>
    <row r="950" spans="1:23" ht="101.25" customHeight="1" x14ac:dyDescent="0.2">
      <c r="A950" s="80"/>
      <c r="B950" s="81"/>
      <c r="C950" s="4" t="s">
        <v>236</v>
      </c>
      <c r="D950" s="35">
        <f t="shared" si="423"/>
        <v>0</v>
      </c>
      <c r="E950" s="36"/>
      <c r="F950" s="36"/>
      <c r="G950" s="36"/>
      <c r="H950" s="37"/>
      <c r="I950" s="35">
        <f t="shared" si="424"/>
        <v>1247.9000000000001</v>
      </c>
      <c r="J950" s="36">
        <v>1247.9000000000001</v>
      </c>
      <c r="K950" s="36"/>
      <c r="L950" s="36"/>
      <c r="M950" s="37"/>
      <c r="N950" s="35">
        <f>SUM(O950:R950)</f>
        <v>1225.1199999999999</v>
      </c>
      <c r="O950" s="36">
        <v>1225.1199999999999</v>
      </c>
      <c r="P950" s="36"/>
      <c r="Q950" s="36"/>
      <c r="R950" s="37"/>
      <c r="S950" s="29">
        <f t="shared" si="391"/>
        <v>0.98174533215802529</v>
      </c>
      <c r="T950" s="30">
        <f t="shared" si="392"/>
        <v>0.98174533215802529</v>
      </c>
      <c r="U950" s="30" t="str">
        <f t="shared" si="393"/>
        <v xml:space="preserve"> </v>
      </c>
      <c r="V950" s="30" t="str">
        <f t="shared" si="394"/>
        <v xml:space="preserve"> </v>
      </c>
      <c r="W950" s="30" t="str">
        <f t="shared" si="394"/>
        <v xml:space="preserve"> </v>
      </c>
    </row>
    <row r="951" spans="1:23" ht="225.75" customHeight="1" x14ac:dyDescent="0.2">
      <c r="A951" s="80"/>
      <c r="B951" s="81"/>
      <c r="C951" s="4" t="s">
        <v>237</v>
      </c>
      <c r="D951" s="35">
        <f t="shared" si="423"/>
        <v>0</v>
      </c>
      <c r="E951" s="36"/>
      <c r="F951" s="36"/>
      <c r="G951" s="36"/>
      <c r="H951" s="37"/>
      <c r="I951" s="35">
        <f t="shared" si="424"/>
        <v>4388.1000000000004</v>
      </c>
      <c r="J951" s="36"/>
      <c r="K951" s="36"/>
      <c r="L951" s="36">
        <v>4388.1000000000004</v>
      </c>
      <c r="M951" s="37"/>
      <c r="N951" s="35">
        <f>SUM(O951:R951)</f>
        <v>0</v>
      </c>
      <c r="O951" s="36"/>
      <c r="P951" s="36"/>
      <c r="Q951" s="36"/>
      <c r="R951" s="37"/>
      <c r="S951" s="29">
        <f t="shared" si="391"/>
        <v>0</v>
      </c>
      <c r="T951" s="30" t="str">
        <f t="shared" si="392"/>
        <v xml:space="preserve"> </v>
      </c>
      <c r="U951" s="30" t="str">
        <f t="shared" si="393"/>
        <v xml:space="preserve"> </v>
      </c>
      <c r="V951" s="30">
        <f t="shared" si="394"/>
        <v>0</v>
      </c>
      <c r="W951" s="30" t="str">
        <f t="shared" si="394"/>
        <v xml:space="preserve"> </v>
      </c>
    </row>
    <row r="952" spans="1:23" ht="49.5" customHeight="1" x14ac:dyDescent="0.2">
      <c r="A952" s="72">
        <v>1023</v>
      </c>
      <c r="B952" s="76">
        <v>31004</v>
      </c>
      <c r="C952" s="1" t="s">
        <v>25</v>
      </c>
      <c r="D952" s="5">
        <f>SUM(E952:H952)</f>
        <v>173150.3</v>
      </c>
      <c r="E952" s="6">
        <f>SUM(E954:E960)</f>
        <v>0</v>
      </c>
      <c r="F952" s="6">
        <f t="shared" ref="F952:H952" si="425">SUM(F954:F960)</f>
        <v>173150.3</v>
      </c>
      <c r="G952" s="6">
        <f t="shared" si="425"/>
        <v>0</v>
      </c>
      <c r="H952" s="7">
        <f t="shared" si="425"/>
        <v>0</v>
      </c>
      <c r="I952" s="5">
        <f>SUM(J952:M952)</f>
        <v>152304.4</v>
      </c>
      <c r="J952" s="6">
        <f>SUM(J954:J960)</f>
        <v>0</v>
      </c>
      <c r="K952" s="6">
        <f t="shared" ref="K952:M952" si="426">SUM(K954:K960)</f>
        <v>152304.4</v>
      </c>
      <c r="L952" s="6">
        <f t="shared" si="426"/>
        <v>0</v>
      </c>
      <c r="M952" s="7">
        <f t="shared" si="426"/>
        <v>0</v>
      </c>
      <c r="N952" s="5">
        <f>SUM(O952:R952)</f>
        <v>140349.20000000001</v>
      </c>
      <c r="O952" s="6">
        <f>SUM(O954:O960)</f>
        <v>0</v>
      </c>
      <c r="P952" s="6">
        <f t="shared" ref="P952:R952" si="427">SUM(P954:P960)</f>
        <v>140349.20000000001</v>
      </c>
      <c r="Q952" s="6">
        <f t="shared" si="427"/>
        <v>0</v>
      </c>
      <c r="R952" s="7">
        <f t="shared" si="427"/>
        <v>0</v>
      </c>
      <c r="S952" s="26">
        <f t="shared" si="391"/>
        <v>0.92150456585627216</v>
      </c>
      <c r="T952" s="27" t="str">
        <f t="shared" si="392"/>
        <v xml:space="preserve"> </v>
      </c>
      <c r="U952" s="27">
        <f t="shared" si="393"/>
        <v>0.92150456585627216</v>
      </c>
      <c r="V952" s="27" t="str">
        <f t="shared" si="394"/>
        <v xml:space="preserve"> </v>
      </c>
      <c r="W952" s="27" t="str">
        <f t="shared" si="394"/>
        <v xml:space="preserve"> </v>
      </c>
    </row>
    <row r="953" spans="1:23" ht="16.5" x14ac:dyDescent="0.2">
      <c r="A953" s="74"/>
      <c r="B953" s="75"/>
      <c r="C953" s="4" t="s">
        <v>10</v>
      </c>
      <c r="D953" s="35"/>
      <c r="E953" s="36"/>
      <c r="F953" s="36"/>
      <c r="G953" s="36"/>
      <c r="H953" s="37"/>
      <c r="I953" s="35"/>
      <c r="J953" s="36"/>
      <c r="K953" s="36"/>
      <c r="L953" s="36"/>
      <c r="M953" s="37"/>
      <c r="N953" s="35"/>
      <c r="O953" s="36"/>
      <c r="P953" s="36"/>
      <c r="Q953" s="36"/>
      <c r="R953" s="37"/>
      <c r="S953" s="29" t="str">
        <f t="shared" si="391"/>
        <v xml:space="preserve"> </v>
      </c>
      <c r="T953" s="30" t="str">
        <f t="shared" si="392"/>
        <v xml:space="preserve"> </v>
      </c>
      <c r="U953" s="30" t="str">
        <f t="shared" si="393"/>
        <v xml:space="preserve"> </v>
      </c>
      <c r="V953" s="30" t="str">
        <f t="shared" si="394"/>
        <v xml:space="preserve"> </v>
      </c>
      <c r="W953" s="30" t="str">
        <f t="shared" si="394"/>
        <v xml:space="preserve"> </v>
      </c>
    </row>
    <row r="954" spans="1:23" ht="85.5" customHeight="1" x14ac:dyDescent="0.2">
      <c r="A954" s="74"/>
      <c r="B954" s="75"/>
      <c r="C954" s="4" t="s">
        <v>164</v>
      </c>
      <c r="D954" s="35">
        <f>SUM(E954:H954)</f>
        <v>90348.5</v>
      </c>
      <c r="E954" s="36"/>
      <c r="F954" s="62">
        <v>90348.5</v>
      </c>
      <c r="G954" s="36"/>
      <c r="H954" s="37"/>
      <c r="I954" s="35">
        <f>SUM(J954:M954)</f>
        <v>0</v>
      </c>
      <c r="J954" s="36"/>
      <c r="K954" s="62"/>
      <c r="L954" s="36"/>
      <c r="M954" s="37"/>
      <c r="N954" s="35">
        <f t="shared" ref="N954:N963" si="428">SUM(O954:R954)</f>
        <v>0</v>
      </c>
      <c r="O954" s="36"/>
      <c r="P954" s="62"/>
      <c r="Q954" s="36"/>
      <c r="R954" s="37"/>
      <c r="S954" s="29" t="str">
        <f t="shared" si="391"/>
        <v xml:space="preserve"> </v>
      </c>
      <c r="T954" s="30" t="str">
        <f t="shared" si="392"/>
        <v xml:space="preserve"> </v>
      </c>
      <c r="U954" s="30" t="str">
        <f t="shared" si="393"/>
        <v xml:space="preserve"> </v>
      </c>
      <c r="V954" s="30" t="str">
        <f t="shared" si="394"/>
        <v xml:space="preserve"> </v>
      </c>
      <c r="W954" s="30" t="str">
        <f t="shared" si="394"/>
        <v xml:space="preserve"> </v>
      </c>
    </row>
    <row r="955" spans="1:23" ht="70.5" customHeight="1" x14ac:dyDescent="0.2">
      <c r="A955" s="74"/>
      <c r="B955" s="75"/>
      <c r="C955" s="4" t="s">
        <v>165</v>
      </c>
      <c r="D955" s="35">
        <f>SUM(E955:H955)</f>
        <v>82801.8</v>
      </c>
      <c r="E955" s="36"/>
      <c r="F955" s="62">
        <v>82801.8</v>
      </c>
      <c r="G955" s="36"/>
      <c r="H955" s="37"/>
      <c r="I955" s="35">
        <f>SUM(J955:M955)</f>
        <v>0</v>
      </c>
      <c r="J955" s="36"/>
      <c r="K955" s="62"/>
      <c r="L955" s="36"/>
      <c r="M955" s="37"/>
      <c r="N955" s="35">
        <f t="shared" si="428"/>
        <v>0</v>
      </c>
      <c r="O955" s="36"/>
      <c r="P955" s="62"/>
      <c r="Q955" s="36"/>
      <c r="R955" s="37"/>
      <c r="S955" s="29" t="str">
        <f t="shared" si="391"/>
        <v xml:space="preserve"> </v>
      </c>
      <c r="T955" s="30" t="str">
        <f t="shared" si="392"/>
        <v xml:space="preserve"> </v>
      </c>
      <c r="U955" s="30" t="str">
        <f t="shared" si="393"/>
        <v xml:space="preserve"> </v>
      </c>
      <c r="V955" s="30" t="str">
        <f t="shared" si="394"/>
        <v xml:space="preserve"> </v>
      </c>
      <c r="W955" s="30" t="str">
        <f t="shared" si="394"/>
        <v xml:space="preserve"> </v>
      </c>
    </row>
    <row r="956" spans="1:23" ht="65.25" customHeight="1" x14ac:dyDescent="0.2">
      <c r="A956" s="74"/>
      <c r="B956" s="75"/>
      <c r="C956" s="4" t="s">
        <v>238</v>
      </c>
      <c r="D956" s="35">
        <f t="shared" ref="D956:D960" si="429">SUM(E956:H956)</f>
        <v>0</v>
      </c>
      <c r="E956" s="36"/>
      <c r="F956" s="62"/>
      <c r="G956" s="36"/>
      <c r="H956" s="37"/>
      <c r="I956" s="35">
        <f t="shared" ref="I956:I960" si="430">SUM(J956:M956)</f>
        <v>10558.4</v>
      </c>
      <c r="J956" s="36"/>
      <c r="K956" s="62">
        <v>10558.4</v>
      </c>
      <c r="L956" s="36"/>
      <c r="M956" s="37"/>
      <c r="N956" s="35">
        <f t="shared" si="428"/>
        <v>10293.07</v>
      </c>
      <c r="O956" s="36"/>
      <c r="P956" s="62">
        <v>10293.07</v>
      </c>
      <c r="Q956" s="36"/>
      <c r="R956" s="37"/>
      <c r="S956" s="29">
        <f t="shared" si="391"/>
        <v>0.97487024549174117</v>
      </c>
      <c r="T956" s="30" t="str">
        <f t="shared" si="392"/>
        <v xml:space="preserve"> </v>
      </c>
      <c r="U956" s="30">
        <f t="shared" si="393"/>
        <v>0.97487024549174117</v>
      </c>
      <c r="V956" s="30" t="str">
        <f t="shared" si="394"/>
        <v xml:space="preserve"> </v>
      </c>
      <c r="W956" s="30" t="str">
        <f t="shared" si="394"/>
        <v xml:space="preserve"> </v>
      </c>
    </row>
    <row r="957" spans="1:23" ht="75.75" customHeight="1" x14ac:dyDescent="0.2">
      <c r="A957" s="74"/>
      <c r="B957" s="75"/>
      <c r="C957" s="4" t="s">
        <v>239</v>
      </c>
      <c r="D957" s="35">
        <f t="shared" si="429"/>
        <v>0</v>
      </c>
      <c r="E957" s="36"/>
      <c r="F957" s="62"/>
      <c r="G957" s="36"/>
      <c r="H957" s="37"/>
      <c r="I957" s="35">
        <f t="shared" si="430"/>
        <v>20830</v>
      </c>
      <c r="J957" s="36"/>
      <c r="K957" s="62">
        <v>20830</v>
      </c>
      <c r="L957" s="36"/>
      <c r="M957" s="37"/>
      <c r="N957" s="35">
        <f t="shared" si="428"/>
        <v>10111.02</v>
      </c>
      <c r="O957" s="36"/>
      <c r="P957" s="62">
        <v>10111.02</v>
      </c>
      <c r="Q957" s="36"/>
      <c r="R957" s="37"/>
      <c r="S957" s="29">
        <f t="shared" si="391"/>
        <v>0.48540662506000964</v>
      </c>
      <c r="T957" s="30" t="str">
        <f t="shared" si="392"/>
        <v xml:space="preserve"> </v>
      </c>
      <c r="U957" s="30">
        <f t="shared" si="393"/>
        <v>0.48540662506000964</v>
      </c>
      <c r="V957" s="30" t="str">
        <f t="shared" si="394"/>
        <v xml:space="preserve"> </v>
      </c>
      <c r="W957" s="30" t="str">
        <f t="shared" si="394"/>
        <v xml:space="preserve"> </v>
      </c>
    </row>
    <row r="958" spans="1:23" ht="87" customHeight="1" x14ac:dyDescent="0.2">
      <c r="A958" s="74"/>
      <c r="B958" s="75"/>
      <c r="C958" s="4" t="s">
        <v>240</v>
      </c>
      <c r="D958" s="35">
        <f t="shared" si="429"/>
        <v>0</v>
      </c>
      <c r="E958" s="36"/>
      <c r="F958" s="62"/>
      <c r="G958" s="36"/>
      <c r="H958" s="37"/>
      <c r="I958" s="35">
        <f t="shared" si="430"/>
        <v>45634</v>
      </c>
      <c r="J958" s="36"/>
      <c r="K958" s="62">
        <v>45634</v>
      </c>
      <c r="L958" s="36"/>
      <c r="M958" s="37"/>
      <c r="N958" s="35">
        <f t="shared" si="428"/>
        <v>45410.9</v>
      </c>
      <c r="O958" s="36"/>
      <c r="P958" s="62">
        <v>45410.9</v>
      </c>
      <c r="Q958" s="36"/>
      <c r="R958" s="37"/>
      <c r="S958" s="29">
        <f t="shared" si="391"/>
        <v>0.99511110137178427</v>
      </c>
      <c r="T958" s="30" t="str">
        <f t="shared" si="392"/>
        <v xml:space="preserve"> </v>
      </c>
      <c r="U958" s="30">
        <f t="shared" si="393"/>
        <v>0.99511110137178427</v>
      </c>
      <c r="V958" s="30" t="str">
        <f t="shared" si="394"/>
        <v xml:space="preserve"> </v>
      </c>
      <c r="W958" s="30" t="str">
        <f t="shared" si="394"/>
        <v xml:space="preserve"> </v>
      </c>
    </row>
    <row r="959" spans="1:23" ht="88.5" customHeight="1" x14ac:dyDescent="0.2">
      <c r="A959" s="74"/>
      <c r="B959" s="75"/>
      <c r="C959" s="4" t="s">
        <v>241</v>
      </c>
      <c r="D959" s="35">
        <f t="shared" si="429"/>
        <v>0</v>
      </c>
      <c r="E959" s="36"/>
      <c r="F959" s="62"/>
      <c r="G959" s="36"/>
      <c r="H959" s="37"/>
      <c r="I959" s="35">
        <f t="shared" si="430"/>
        <v>47205.2</v>
      </c>
      <c r="J959" s="36"/>
      <c r="K959" s="62">
        <v>47205.2</v>
      </c>
      <c r="L959" s="36"/>
      <c r="M959" s="37"/>
      <c r="N959" s="35">
        <f t="shared" si="428"/>
        <v>46947.22</v>
      </c>
      <c r="O959" s="36"/>
      <c r="P959" s="62">
        <v>46947.22</v>
      </c>
      <c r="Q959" s="36"/>
      <c r="R959" s="37"/>
      <c r="S959" s="29">
        <f t="shared" si="391"/>
        <v>0.9945349241185294</v>
      </c>
      <c r="T959" s="30" t="str">
        <f t="shared" si="392"/>
        <v xml:space="preserve"> </v>
      </c>
      <c r="U959" s="30">
        <f t="shared" si="393"/>
        <v>0.9945349241185294</v>
      </c>
      <c r="V959" s="30" t="str">
        <f t="shared" si="394"/>
        <v xml:space="preserve"> </v>
      </c>
      <c r="W959" s="30" t="str">
        <f t="shared" si="394"/>
        <v xml:space="preserve"> </v>
      </c>
    </row>
    <row r="960" spans="1:23" ht="87.75" customHeight="1" x14ac:dyDescent="0.2">
      <c r="A960" s="74"/>
      <c r="B960" s="75"/>
      <c r="C960" s="4" t="s">
        <v>242</v>
      </c>
      <c r="D960" s="35">
        <f t="shared" si="429"/>
        <v>0</v>
      </c>
      <c r="E960" s="36"/>
      <c r="F960" s="62"/>
      <c r="G960" s="36"/>
      <c r="H960" s="37"/>
      <c r="I960" s="35">
        <f t="shared" si="430"/>
        <v>28076.799999999999</v>
      </c>
      <c r="J960" s="36"/>
      <c r="K960" s="62">
        <v>28076.799999999999</v>
      </c>
      <c r="L960" s="36"/>
      <c r="M960" s="37"/>
      <c r="N960" s="35">
        <f t="shared" si="428"/>
        <v>27586.99</v>
      </c>
      <c r="O960" s="36"/>
      <c r="P960" s="62">
        <v>27586.99</v>
      </c>
      <c r="Q960" s="36"/>
      <c r="R960" s="37"/>
      <c r="S960" s="29">
        <f t="shared" si="391"/>
        <v>0.98255463585593805</v>
      </c>
      <c r="T960" s="30" t="str">
        <f t="shared" si="392"/>
        <v xml:space="preserve"> </v>
      </c>
      <c r="U960" s="30">
        <f t="shared" si="393"/>
        <v>0.98255463585593805</v>
      </c>
      <c r="V960" s="30" t="str">
        <f t="shared" si="394"/>
        <v xml:space="preserve"> </v>
      </c>
      <c r="W960" s="30" t="str">
        <f t="shared" si="394"/>
        <v xml:space="preserve"> </v>
      </c>
    </row>
    <row r="961" spans="1:23" ht="48" customHeight="1" x14ac:dyDescent="0.2">
      <c r="A961" s="72">
        <v>1023</v>
      </c>
      <c r="B961" s="76">
        <v>31005</v>
      </c>
      <c r="C961" s="1" t="s">
        <v>834</v>
      </c>
      <c r="D961" s="5">
        <f>SUM(E961:H961)</f>
        <v>0</v>
      </c>
      <c r="E961" s="6">
        <f>SUM(E962)</f>
        <v>0</v>
      </c>
      <c r="F961" s="6">
        <f t="shared" ref="F961:H961" si="431">SUM(F962)</f>
        <v>0</v>
      </c>
      <c r="G961" s="6">
        <f t="shared" si="431"/>
        <v>0</v>
      </c>
      <c r="H961" s="7">
        <f t="shared" si="431"/>
        <v>0</v>
      </c>
      <c r="I961" s="5">
        <f>SUM(J961:M961)</f>
        <v>5105</v>
      </c>
      <c r="J961" s="6">
        <f>SUM(J962)</f>
        <v>0</v>
      </c>
      <c r="K961" s="6">
        <f t="shared" ref="K961" si="432">SUM(K962)</f>
        <v>0</v>
      </c>
      <c r="L961" s="6">
        <f t="shared" ref="L961" si="433">SUM(L962)</f>
        <v>0</v>
      </c>
      <c r="M961" s="7">
        <f t="shared" ref="M961" si="434">SUM(M962)</f>
        <v>5105</v>
      </c>
      <c r="N961" s="5">
        <f t="shared" si="428"/>
        <v>5105</v>
      </c>
      <c r="O961" s="6">
        <f>SUM(O962)</f>
        <v>0</v>
      </c>
      <c r="P961" s="6">
        <f t="shared" ref="P961" si="435">SUM(P962)</f>
        <v>0</v>
      </c>
      <c r="Q961" s="6">
        <f t="shared" ref="Q961" si="436">SUM(Q962)</f>
        <v>0</v>
      </c>
      <c r="R961" s="7">
        <f t="shared" ref="R961" si="437">SUM(R962)</f>
        <v>5105</v>
      </c>
      <c r="S961" s="26">
        <f t="shared" si="391"/>
        <v>1</v>
      </c>
      <c r="T961" s="27" t="str">
        <f t="shared" si="392"/>
        <v xml:space="preserve"> </v>
      </c>
      <c r="U961" s="27" t="str">
        <f t="shared" si="393"/>
        <v xml:space="preserve"> </v>
      </c>
      <c r="V961" s="27" t="str">
        <f t="shared" si="394"/>
        <v xml:space="preserve"> </v>
      </c>
      <c r="W961" s="27">
        <f t="shared" si="394"/>
        <v>1</v>
      </c>
    </row>
    <row r="962" spans="1:23" ht="44.25" customHeight="1" x14ac:dyDescent="0.2">
      <c r="A962" s="74"/>
      <c r="B962" s="75"/>
      <c r="C962" s="4" t="s">
        <v>243</v>
      </c>
      <c r="D962" s="35">
        <f>SUM(E962:H962)</f>
        <v>0</v>
      </c>
      <c r="E962" s="36"/>
      <c r="F962" s="36"/>
      <c r="G962" s="36"/>
      <c r="H962" s="37"/>
      <c r="I962" s="35">
        <f>SUM(J962:M962)</f>
        <v>5105</v>
      </c>
      <c r="J962" s="36"/>
      <c r="K962" s="36"/>
      <c r="L962" s="36"/>
      <c r="M962" s="37">
        <v>5105</v>
      </c>
      <c r="N962" s="35">
        <f t="shared" si="428"/>
        <v>5105</v>
      </c>
      <c r="O962" s="36"/>
      <c r="P962" s="36"/>
      <c r="Q962" s="36"/>
      <c r="R962" s="37">
        <v>5105</v>
      </c>
      <c r="S962" s="29">
        <f t="shared" si="391"/>
        <v>1</v>
      </c>
      <c r="T962" s="30" t="str">
        <f t="shared" si="392"/>
        <v xml:space="preserve"> </v>
      </c>
      <c r="U962" s="30" t="str">
        <f t="shared" si="393"/>
        <v xml:space="preserve"> </v>
      </c>
      <c r="V962" s="30" t="str">
        <f t="shared" si="394"/>
        <v xml:space="preserve"> </v>
      </c>
      <c r="W962" s="30">
        <f t="shared" si="394"/>
        <v>1</v>
      </c>
    </row>
    <row r="963" spans="1:23" s="38" customFormat="1" ht="43.5" customHeight="1" x14ac:dyDescent="0.2">
      <c r="A963" s="72"/>
      <c r="B963" s="73"/>
      <c r="C963" s="89" t="s">
        <v>26</v>
      </c>
      <c r="D963" s="5">
        <f>SUM(D965,D966,D967,D968,D969,D970)</f>
        <v>2174265.0999999996</v>
      </c>
      <c r="E963" s="6">
        <f>SUM(E965,E966,E967,E968,E969,E970)</f>
        <v>1696008.7</v>
      </c>
      <c r="F963" s="6">
        <f t="shared" ref="F963:H963" si="438">SUM(F965,F966,F967,F968,F969,F970)</f>
        <v>96556.2</v>
      </c>
      <c r="G963" s="6">
        <f t="shared" si="438"/>
        <v>22212</v>
      </c>
      <c r="H963" s="7">
        <f t="shared" si="438"/>
        <v>359488.2</v>
      </c>
      <c r="I963" s="5">
        <f>SUM(I965,I966,I967,I968,I969,I970)</f>
        <v>5180917.8</v>
      </c>
      <c r="J963" s="6">
        <f>SUM(J965,J966,J967,J968,J969,J970)</f>
        <v>2715836.9</v>
      </c>
      <c r="K963" s="6">
        <f t="shared" ref="K963:M963" si="439">SUM(K965,K966,K967,K968,K969,K970)</f>
        <v>96556.2</v>
      </c>
      <c r="L963" s="6">
        <f t="shared" si="439"/>
        <v>51292</v>
      </c>
      <c r="M963" s="7">
        <f t="shared" si="439"/>
        <v>2317232.7000000002</v>
      </c>
      <c r="N963" s="5">
        <f t="shared" si="428"/>
        <v>4372231.3</v>
      </c>
      <c r="O963" s="6">
        <f>SUM(O965,O966,O967,O968,O969,O970)</f>
        <v>2142125</v>
      </c>
      <c r="P963" s="6">
        <f t="shared" ref="P963:R963" si="440">SUM(P965,P966,P967,P968,P969,P970)</f>
        <v>94428.29</v>
      </c>
      <c r="Q963" s="6">
        <f t="shared" si="440"/>
        <v>50887.23</v>
      </c>
      <c r="R963" s="7">
        <f t="shared" si="440"/>
        <v>2084790.7799999998</v>
      </c>
      <c r="S963" s="26">
        <f t="shared" si="391"/>
        <v>0.84391057121191926</v>
      </c>
      <c r="T963" s="27">
        <f t="shared" si="392"/>
        <v>0.78875318322687205</v>
      </c>
      <c r="U963" s="27">
        <f t="shared" si="393"/>
        <v>0.97796195376371475</v>
      </c>
      <c r="V963" s="27">
        <f t="shared" si="394"/>
        <v>0.99210851594790617</v>
      </c>
      <c r="W963" s="27">
        <f t="shared" si="394"/>
        <v>0.89968986714195753</v>
      </c>
    </row>
    <row r="964" spans="1:23" ht="16.5" x14ac:dyDescent="0.2">
      <c r="A964" s="74"/>
      <c r="B964" s="75"/>
      <c r="C964" s="4" t="s">
        <v>10</v>
      </c>
      <c r="D964" s="35"/>
      <c r="E964" s="36"/>
      <c r="F964" s="36"/>
      <c r="G964" s="36"/>
      <c r="H964" s="37"/>
      <c r="I964" s="35"/>
      <c r="J964" s="36"/>
      <c r="K964" s="36"/>
      <c r="L964" s="36"/>
      <c r="M964" s="37"/>
      <c r="N964" s="35"/>
      <c r="O964" s="36"/>
      <c r="P964" s="36"/>
      <c r="Q964" s="36"/>
      <c r="R964" s="37"/>
      <c r="S964" s="29" t="str">
        <f t="shared" si="391"/>
        <v xml:space="preserve"> </v>
      </c>
      <c r="T964" s="30" t="str">
        <f t="shared" si="392"/>
        <v xml:space="preserve"> </v>
      </c>
      <c r="U964" s="30" t="str">
        <f t="shared" si="393"/>
        <v xml:space="preserve"> </v>
      </c>
      <c r="V964" s="30" t="str">
        <f t="shared" si="394"/>
        <v xml:space="preserve"> </v>
      </c>
      <c r="W964" s="30" t="str">
        <f t="shared" si="394"/>
        <v xml:space="preserve"> </v>
      </c>
    </row>
    <row r="965" spans="1:23" ht="65.25" customHeight="1" x14ac:dyDescent="0.2">
      <c r="A965" s="72">
        <v>1138</v>
      </c>
      <c r="B965" s="76">
        <v>31001</v>
      </c>
      <c r="C965" s="1" t="s">
        <v>27</v>
      </c>
      <c r="D965" s="5">
        <f>SUM(E965:H965)</f>
        <v>259688.2</v>
      </c>
      <c r="E965" s="6">
        <v>0</v>
      </c>
      <c r="F965" s="6">
        <v>0</v>
      </c>
      <c r="G965" s="6">
        <v>0</v>
      </c>
      <c r="H965" s="7">
        <v>259688.2</v>
      </c>
      <c r="I965" s="5">
        <f>SUM(J965:M965)</f>
        <v>1052046.7</v>
      </c>
      <c r="J965" s="6">
        <v>0</v>
      </c>
      <c r="K965" s="6">
        <v>0</v>
      </c>
      <c r="L965" s="6">
        <v>0</v>
      </c>
      <c r="M965" s="7">
        <v>1052046.7</v>
      </c>
      <c r="N965" s="5">
        <f t="shared" ref="N965:N973" si="441">SUM(O965:R965)</f>
        <v>844784.94</v>
      </c>
      <c r="O965" s="6">
        <v>0</v>
      </c>
      <c r="P965" s="6">
        <v>0</v>
      </c>
      <c r="Q965" s="6">
        <v>0</v>
      </c>
      <c r="R965" s="7">
        <v>844784.94</v>
      </c>
      <c r="S965" s="26">
        <f t="shared" si="391"/>
        <v>0.80299186338401141</v>
      </c>
      <c r="T965" s="27" t="str">
        <f t="shared" si="392"/>
        <v xml:space="preserve"> </v>
      </c>
      <c r="U965" s="27" t="str">
        <f t="shared" si="393"/>
        <v xml:space="preserve"> </v>
      </c>
      <c r="V965" s="27" t="str">
        <f t="shared" si="394"/>
        <v xml:space="preserve"> </v>
      </c>
      <c r="W965" s="27">
        <f t="shared" si="394"/>
        <v>0.80299186338401141</v>
      </c>
    </row>
    <row r="966" spans="1:23" ht="57.75" customHeight="1" x14ac:dyDescent="0.2">
      <c r="A966" s="72">
        <v>1138</v>
      </c>
      <c r="B966" s="76">
        <v>31002</v>
      </c>
      <c r="C966" s="1" t="s">
        <v>92</v>
      </c>
      <c r="D966" s="5">
        <f t="shared" ref="D966:D970" si="442">SUM(E966:H966)</f>
        <v>1799232.5999999999</v>
      </c>
      <c r="E966" s="6">
        <v>1628264.4</v>
      </c>
      <c r="F966" s="6">
        <v>96556.2</v>
      </c>
      <c r="G966" s="6">
        <v>22212</v>
      </c>
      <c r="H966" s="7">
        <v>52200</v>
      </c>
      <c r="I966" s="5">
        <f t="shared" ref="I966:I969" si="443">SUM(J966:M966)</f>
        <v>2848140.8000000003</v>
      </c>
      <c r="J966" s="6">
        <v>2648092.6</v>
      </c>
      <c r="K966" s="6">
        <v>96556.2</v>
      </c>
      <c r="L966" s="6">
        <v>51292</v>
      </c>
      <c r="M966" s="7">
        <v>52200</v>
      </c>
      <c r="N966" s="5">
        <f t="shared" si="441"/>
        <v>2303926.2999999998</v>
      </c>
      <c r="O966" s="6">
        <v>2107090.7799999998</v>
      </c>
      <c r="P966" s="6">
        <v>94428.29</v>
      </c>
      <c r="Q966" s="6">
        <v>50887.23</v>
      </c>
      <c r="R966" s="7">
        <v>51520</v>
      </c>
      <c r="S966" s="26">
        <f t="shared" si="391"/>
        <v>0.80892289454229216</v>
      </c>
      <c r="T966" s="27">
        <f t="shared" si="392"/>
        <v>0.79570132101875879</v>
      </c>
      <c r="U966" s="27">
        <f t="shared" si="393"/>
        <v>0.97796195376371475</v>
      </c>
      <c r="V966" s="27">
        <f t="shared" si="394"/>
        <v>0.99210851594790617</v>
      </c>
      <c r="W966" s="27">
        <f t="shared" si="394"/>
        <v>0.98697318007662838</v>
      </c>
    </row>
    <row r="967" spans="1:23" ht="64.5" customHeight="1" x14ac:dyDescent="0.2">
      <c r="A967" s="72">
        <v>1138</v>
      </c>
      <c r="B967" s="76">
        <v>31003</v>
      </c>
      <c r="C967" s="1" t="s">
        <v>815</v>
      </c>
      <c r="D967" s="5">
        <f t="shared" ref="D967" si="444">SUM(E967:H967)</f>
        <v>0</v>
      </c>
      <c r="E967" s="6"/>
      <c r="F967" s="6"/>
      <c r="G967" s="6"/>
      <c r="H967" s="7"/>
      <c r="I967" s="5">
        <f t="shared" ref="I967" si="445">SUM(J967:M967)</f>
        <v>710014</v>
      </c>
      <c r="J967" s="6"/>
      <c r="K967" s="6"/>
      <c r="L967" s="6"/>
      <c r="M967" s="7">
        <v>710014</v>
      </c>
      <c r="N967" s="5">
        <f t="shared" ref="N967" si="446">SUM(O967:R967)</f>
        <v>685514</v>
      </c>
      <c r="O967" s="6"/>
      <c r="P967" s="6"/>
      <c r="Q967" s="6"/>
      <c r="R967" s="7">
        <v>685514</v>
      </c>
      <c r="S967" s="26">
        <f t="shared" si="391"/>
        <v>0.96549363815361389</v>
      </c>
      <c r="T967" s="27" t="str">
        <f t="shared" si="392"/>
        <v xml:space="preserve"> </v>
      </c>
      <c r="U967" s="27" t="str">
        <f t="shared" si="393"/>
        <v xml:space="preserve"> </v>
      </c>
      <c r="V967" s="27" t="str">
        <f t="shared" si="394"/>
        <v xml:space="preserve"> </v>
      </c>
      <c r="W967" s="27">
        <f t="shared" si="394"/>
        <v>0.96549363815361389</v>
      </c>
    </row>
    <row r="968" spans="1:23" ht="47.25" customHeight="1" x14ac:dyDescent="0.2">
      <c r="A968" s="72">
        <v>1036</v>
      </c>
      <c r="B968" s="76">
        <v>31001</v>
      </c>
      <c r="C968" s="1" t="s">
        <v>171</v>
      </c>
      <c r="D968" s="5">
        <f t="shared" si="442"/>
        <v>45000</v>
      </c>
      <c r="E968" s="6"/>
      <c r="F968" s="6"/>
      <c r="G968" s="6"/>
      <c r="H968" s="7">
        <v>45000</v>
      </c>
      <c r="I968" s="5">
        <f t="shared" si="443"/>
        <v>500372</v>
      </c>
      <c r="J968" s="6"/>
      <c r="K968" s="6"/>
      <c r="L968" s="6"/>
      <c r="M968" s="7">
        <v>500372</v>
      </c>
      <c r="N968" s="5">
        <f t="shared" si="441"/>
        <v>500371.92</v>
      </c>
      <c r="O968" s="6"/>
      <c r="P968" s="6"/>
      <c r="Q968" s="6"/>
      <c r="R968" s="7">
        <v>500371.92</v>
      </c>
      <c r="S968" s="26">
        <f t="shared" si="391"/>
        <v>0.99999984011895149</v>
      </c>
      <c r="T968" s="27" t="str">
        <f t="shared" si="392"/>
        <v xml:space="preserve"> </v>
      </c>
      <c r="U968" s="27" t="str">
        <f t="shared" si="393"/>
        <v xml:space="preserve"> </v>
      </c>
      <c r="V968" s="27" t="str">
        <f t="shared" si="394"/>
        <v xml:space="preserve"> </v>
      </c>
      <c r="W968" s="27">
        <f t="shared" si="394"/>
        <v>0.99999984011895149</v>
      </c>
    </row>
    <row r="969" spans="1:23" ht="50.25" customHeight="1" x14ac:dyDescent="0.2">
      <c r="A969" s="72">
        <v>1036</v>
      </c>
      <c r="B969" s="76">
        <v>31002</v>
      </c>
      <c r="C969" s="1" t="s">
        <v>172</v>
      </c>
      <c r="D969" s="5">
        <f t="shared" si="442"/>
        <v>2600</v>
      </c>
      <c r="E969" s="6"/>
      <c r="F969" s="6"/>
      <c r="G969" s="6"/>
      <c r="H969" s="7">
        <v>2600</v>
      </c>
      <c r="I969" s="5">
        <f t="shared" si="443"/>
        <v>2600</v>
      </c>
      <c r="J969" s="6"/>
      <c r="K969" s="6"/>
      <c r="L969" s="6"/>
      <c r="M969" s="7">
        <v>2600</v>
      </c>
      <c r="N969" s="5">
        <f t="shared" si="441"/>
        <v>2599.92</v>
      </c>
      <c r="O969" s="6"/>
      <c r="P969" s="6"/>
      <c r="Q969" s="6"/>
      <c r="R969" s="7">
        <v>2599.92</v>
      </c>
      <c r="S969" s="26">
        <f t="shared" si="391"/>
        <v>0.99996923076923083</v>
      </c>
      <c r="T969" s="27" t="str">
        <f t="shared" si="392"/>
        <v xml:space="preserve"> </v>
      </c>
      <c r="U969" s="27" t="str">
        <f t="shared" si="393"/>
        <v xml:space="preserve"> </v>
      </c>
      <c r="V969" s="27" t="str">
        <f t="shared" si="394"/>
        <v xml:space="preserve"> </v>
      </c>
      <c r="W969" s="27">
        <f t="shared" si="394"/>
        <v>0.99996923076923083</v>
      </c>
    </row>
    <row r="970" spans="1:23" ht="66" customHeight="1" x14ac:dyDescent="0.2">
      <c r="A970" s="72">
        <v>1036</v>
      </c>
      <c r="B970" s="76">
        <v>31004</v>
      </c>
      <c r="C970" s="1" t="s">
        <v>173</v>
      </c>
      <c r="D970" s="5">
        <f t="shared" si="442"/>
        <v>67744.3</v>
      </c>
      <c r="E970" s="6">
        <v>67744.3</v>
      </c>
      <c r="F970" s="6"/>
      <c r="G970" s="6"/>
      <c r="H970" s="7"/>
      <c r="I970" s="5">
        <f>SUM(J970:M970)</f>
        <v>67744.3</v>
      </c>
      <c r="J970" s="6">
        <f>SUM(J972)</f>
        <v>67744.3</v>
      </c>
      <c r="K970" s="6">
        <f t="shared" ref="K970:M970" si="447">SUM(K972)</f>
        <v>0</v>
      </c>
      <c r="L970" s="6">
        <f t="shared" si="447"/>
        <v>0</v>
      </c>
      <c r="M970" s="7">
        <f t="shared" si="447"/>
        <v>0</v>
      </c>
      <c r="N970" s="5">
        <f t="shared" si="441"/>
        <v>35034.22</v>
      </c>
      <c r="O970" s="6">
        <f>SUM(O972)</f>
        <v>35034.22</v>
      </c>
      <c r="P970" s="6">
        <f t="shared" ref="P970:R970" si="448">SUM(P972)</f>
        <v>0</v>
      </c>
      <c r="Q970" s="6">
        <f t="shared" si="448"/>
        <v>0</v>
      </c>
      <c r="R970" s="7">
        <f t="shared" si="448"/>
        <v>0</v>
      </c>
      <c r="S970" s="26">
        <f t="shared" si="391"/>
        <v>0.51715376791848167</v>
      </c>
      <c r="T970" s="27">
        <f t="shared" si="392"/>
        <v>0.51715376791848167</v>
      </c>
      <c r="U970" s="27" t="str">
        <f t="shared" si="393"/>
        <v xml:space="preserve"> </v>
      </c>
      <c r="V970" s="27" t="str">
        <f t="shared" si="394"/>
        <v xml:space="preserve"> </v>
      </c>
      <c r="W970" s="27" t="str">
        <f t="shared" si="394"/>
        <v xml:space="preserve"> </v>
      </c>
    </row>
    <row r="971" spans="1:23" ht="16.5" x14ac:dyDescent="0.2">
      <c r="A971" s="74"/>
      <c r="B971" s="75"/>
      <c r="C971" s="4" t="s">
        <v>10</v>
      </c>
      <c r="D971" s="35"/>
      <c r="E971" s="36"/>
      <c r="F971" s="36"/>
      <c r="G971" s="36"/>
      <c r="H971" s="37"/>
      <c r="I971" s="35"/>
      <c r="J971" s="36"/>
      <c r="K971" s="36"/>
      <c r="L971" s="36"/>
      <c r="M971" s="37"/>
      <c r="N971" s="35"/>
      <c r="O971" s="36"/>
      <c r="P971" s="36"/>
      <c r="Q971" s="36"/>
      <c r="R971" s="37"/>
      <c r="S971" s="29" t="str">
        <f t="shared" si="391"/>
        <v xml:space="preserve"> </v>
      </c>
      <c r="T971" s="30" t="str">
        <f t="shared" si="392"/>
        <v xml:space="preserve"> </v>
      </c>
      <c r="U971" s="30" t="str">
        <f t="shared" si="393"/>
        <v xml:space="preserve"> </v>
      </c>
      <c r="V971" s="30" t="str">
        <f t="shared" si="394"/>
        <v xml:space="preserve"> </v>
      </c>
      <c r="W971" s="30" t="str">
        <f t="shared" si="394"/>
        <v xml:space="preserve"> </v>
      </c>
    </row>
    <row r="972" spans="1:23" ht="63" customHeight="1" x14ac:dyDescent="0.2">
      <c r="A972" s="74"/>
      <c r="B972" s="75"/>
      <c r="C972" s="4" t="s">
        <v>814</v>
      </c>
      <c r="D972" s="35"/>
      <c r="E972" s="36"/>
      <c r="F972" s="36"/>
      <c r="G972" s="36"/>
      <c r="H972" s="37"/>
      <c r="I972" s="35">
        <f t="shared" ref="I972" si="449">SUM(J972:M972)</f>
        <v>67744.3</v>
      </c>
      <c r="J972" s="36">
        <v>67744.3</v>
      </c>
      <c r="K972" s="36"/>
      <c r="L972" s="36"/>
      <c r="M972" s="37"/>
      <c r="N972" s="35">
        <f t="shared" si="441"/>
        <v>35034.22</v>
      </c>
      <c r="O972" s="36">
        <v>35034.22</v>
      </c>
      <c r="P972" s="36"/>
      <c r="Q972" s="36"/>
      <c r="R972" s="37"/>
      <c r="S972" s="29">
        <f t="shared" si="391"/>
        <v>0.51715376791848167</v>
      </c>
      <c r="T972" s="30">
        <f t="shared" si="392"/>
        <v>0.51715376791848167</v>
      </c>
      <c r="U972" s="30" t="str">
        <f t="shared" si="393"/>
        <v xml:space="preserve"> </v>
      </c>
      <c r="V972" s="30" t="str">
        <f t="shared" si="394"/>
        <v xml:space="preserve"> </v>
      </c>
      <c r="W972" s="30" t="str">
        <f t="shared" si="394"/>
        <v xml:space="preserve"> </v>
      </c>
    </row>
    <row r="973" spans="1:23" s="38" customFormat="1" ht="36.75" customHeight="1" x14ac:dyDescent="0.2">
      <c r="A973" s="72"/>
      <c r="B973" s="73"/>
      <c r="C973" s="89" t="s">
        <v>28</v>
      </c>
      <c r="D973" s="5">
        <f>SUM(E973:H973)</f>
        <v>4485800</v>
      </c>
      <c r="E973" s="6">
        <f>SUM(E975:E975)</f>
        <v>0</v>
      </c>
      <c r="F973" s="6">
        <f t="shared" ref="F973:H973" si="450">SUM(F975:F975)</f>
        <v>1673423.2</v>
      </c>
      <c r="G973" s="6">
        <f t="shared" si="450"/>
        <v>30058.6</v>
      </c>
      <c r="H973" s="7">
        <f t="shared" si="450"/>
        <v>2782318.2</v>
      </c>
      <c r="I973" s="5">
        <f>SUM(J973:M973)</f>
        <v>11523033.700000001</v>
      </c>
      <c r="J973" s="6">
        <f>SUM(J975:J975)</f>
        <v>0</v>
      </c>
      <c r="K973" s="6">
        <f t="shared" ref="K973:M973" si="451">SUM(K975:K975)</f>
        <v>924250.3</v>
      </c>
      <c r="L973" s="6">
        <f t="shared" si="451"/>
        <v>51003.5</v>
      </c>
      <c r="M973" s="7">
        <f t="shared" si="451"/>
        <v>10547779.9</v>
      </c>
      <c r="N973" s="5">
        <f t="shared" si="441"/>
        <v>11170394.789999999</v>
      </c>
      <c r="O973" s="6">
        <f>SUM(O975:O975)</f>
        <v>0</v>
      </c>
      <c r="P973" s="6">
        <f t="shared" ref="P973:R973" si="452">SUM(P975:P975)</f>
        <v>915999.78</v>
      </c>
      <c r="Q973" s="6">
        <f t="shared" si="452"/>
        <v>43599</v>
      </c>
      <c r="R973" s="7">
        <f t="shared" si="452"/>
        <v>10210796.01</v>
      </c>
      <c r="S973" s="26">
        <f t="shared" si="391"/>
        <v>0.9693970425513897</v>
      </c>
      <c r="T973" s="27" t="str">
        <f t="shared" si="392"/>
        <v xml:space="preserve"> </v>
      </c>
      <c r="U973" s="27">
        <f t="shared" si="393"/>
        <v>0.99107328393618044</v>
      </c>
      <c r="V973" s="27">
        <f t="shared" si="394"/>
        <v>0.85482368857039226</v>
      </c>
      <c r="W973" s="27">
        <f t="shared" si="394"/>
        <v>0.9680516759740122</v>
      </c>
    </row>
    <row r="974" spans="1:23" ht="16.5" x14ac:dyDescent="0.2">
      <c r="A974" s="74"/>
      <c r="B974" s="75"/>
      <c r="C974" s="4" t="s">
        <v>10</v>
      </c>
      <c r="D974" s="35"/>
      <c r="E974" s="36"/>
      <c r="F974" s="36"/>
      <c r="G974" s="36"/>
      <c r="H974" s="37"/>
      <c r="I974" s="35"/>
      <c r="J974" s="36"/>
      <c r="K974" s="36"/>
      <c r="L974" s="36"/>
      <c r="M974" s="37"/>
      <c r="N974" s="35"/>
      <c r="O974" s="36"/>
      <c r="P974" s="36"/>
      <c r="Q974" s="36"/>
      <c r="R974" s="37"/>
      <c r="S974" s="29" t="str">
        <f t="shared" si="391"/>
        <v xml:space="preserve"> </v>
      </c>
      <c r="T974" s="30" t="str">
        <f t="shared" si="392"/>
        <v xml:space="preserve"> </v>
      </c>
      <c r="U974" s="30" t="str">
        <f t="shared" si="393"/>
        <v xml:space="preserve"> </v>
      </c>
      <c r="V974" s="30" t="str">
        <f t="shared" si="394"/>
        <v xml:space="preserve"> </v>
      </c>
      <c r="W974" s="30" t="str">
        <f t="shared" si="394"/>
        <v xml:space="preserve"> </v>
      </c>
    </row>
    <row r="975" spans="1:23" ht="48" customHeight="1" x14ac:dyDescent="0.2">
      <c r="A975" s="72">
        <v>1158</v>
      </c>
      <c r="B975" s="76">
        <v>31001</v>
      </c>
      <c r="C975" s="1" t="s">
        <v>848</v>
      </c>
      <c r="D975" s="5">
        <f>SUM(E975:H975)</f>
        <v>4485800</v>
      </c>
      <c r="E975" s="6"/>
      <c r="F975" s="6">
        <v>1673423.2</v>
      </c>
      <c r="G975" s="6">
        <v>30058.6</v>
      </c>
      <c r="H975" s="7">
        <v>2782318.2</v>
      </c>
      <c r="I975" s="5">
        <f>SUM(J975:M975)</f>
        <v>11523033.700000001</v>
      </c>
      <c r="J975" s="6"/>
      <c r="K975" s="6">
        <v>924250.3</v>
      </c>
      <c r="L975" s="6">
        <v>51003.5</v>
      </c>
      <c r="M975" s="7">
        <v>10547779.9</v>
      </c>
      <c r="N975" s="5">
        <f>SUM(O975:R975)</f>
        <v>11170394.789999999</v>
      </c>
      <c r="O975" s="6"/>
      <c r="P975" s="6">
        <v>915999.78</v>
      </c>
      <c r="Q975" s="6">
        <v>43599</v>
      </c>
      <c r="R975" s="7">
        <v>10210796.01</v>
      </c>
      <c r="S975" s="26">
        <f t="shared" si="391"/>
        <v>0.9693970425513897</v>
      </c>
      <c r="T975" s="27" t="str">
        <f t="shared" si="392"/>
        <v xml:space="preserve"> </v>
      </c>
      <c r="U975" s="27">
        <f t="shared" si="393"/>
        <v>0.99107328393618044</v>
      </c>
      <c r="V975" s="27">
        <f t="shared" si="394"/>
        <v>0.85482368857039226</v>
      </c>
      <c r="W975" s="27">
        <f t="shared" si="394"/>
        <v>0.9680516759740122</v>
      </c>
    </row>
    <row r="976" spans="1:23" s="38" customFormat="1" ht="34.5" customHeight="1" x14ac:dyDescent="0.2">
      <c r="A976" s="72"/>
      <c r="B976" s="73"/>
      <c r="C976" s="89" t="s">
        <v>209</v>
      </c>
      <c r="D976" s="5">
        <f t="shared" ref="D976:R976" si="453">D978</f>
        <v>0</v>
      </c>
      <c r="E976" s="6">
        <f t="shared" si="453"/>
        <v>0</v>
      </c>
      <c r="F976" s="6">
        <f t="shared" si="453"/>
        <v>0</v>
      </c>
      <c r="G976" s="6">
        <f t="shared" si="453"/>
        <v>0</v>
      </c>
      <c r="H976" s="7">
        <f t="shared" si="453"/>
        <v>0</v>
      </c>
      <c r="I976" s="5">
        <f t="shared" si="453"/>
        <v>1440</v>
      </c>
      <c r="J976" s="6">
        <f t="shared" si="453"/>
        <v>0</v>
      </c>
      <c r="K976" s="6">
        <f t="shared" si="453"/>
        <v>0</v>
      </c>
      <c r="L976" s="6">
        <f t="shared" si="453"/>
        <v>0</v>
      </c>
      <c r="M976" s="7">
        <f t="shared" si="453"/>
        <v>1440</v>
      </c>
      <c r="N976" s="5">
        <f t="shared" si="453"/>
        <v>1440</v>
      </c>
      <c r="O976" s="6">
        <f t="shared" si="453"/>
        <v>0</v>
      </c>
      <c r="P976" s="6">
        <f t="shared" si="453"/>
        <v>0</v>
      </c>
      <c r="Q976" s="6">
        <f t="shared" si="453"/>
        <v>0</v>
      </c>
      <c r="R976" s="7">
        <f t="shared" si="453"/>
        <v>1440</v>
      </c>
      <c r="S976" s="26">
        <f t="shared" si="391"/>
        <v>1</v>
      </c>
      <c r="T976" s="27" t="str">
        <f t="shared" si="392"/>
        <v xml:space="preserve"> </v>
      </c>
      <c r="U976" s="27" t="str">
        <f t="shared" si="393"/>
        <v xml:space="preserve"> </v>
      </c>
      <c r="V976" s="27" t="str">
        <f t="shared" si="394"/>
        <v xml:space="preserve"> </v>
      </c>
      <c r="W976" s="27">
        <f t="shared" si="394"/>
        <v>1</v>
      </c>
    </row>
    <row r="977" spans="1:23" ht="16.5" x14ac:dyDescent="0.2">
      <c r="A977" s="74"/>
      <c r="B977" s="75"/>
      <c r="C977" s="4" t="s">
        <v>10</v>
      </c>
      <c r="D977" s="35"/>
      <c r="E977" s="36"/>
      <c r="F977" s="36"/>
      <c r="G977" s="36"/>
      <c r="H977" s="37"/>
      <c r="I977" s="35"/>
      <c r="J977" s="36"/>
      <c r="K977" s="36"/>
      <c r="L977" s="36"/>
      <c r="M977" s="37"/>
      <c r="N977" s="35"/>
      <c r="O977" s="36"/>
      <c r="P977" s="36"/>
      <c r="Q977" s="36"/>
      <c r="R977" s="37"/>
      <c r="S977" s="29" t="str">
        <f t="shared" si="391"/>
        <v xml:space="preserve"> </v>
      </c>
      <c r="T977" s="30" t="str">
        <f t="shared" si="392"/>
        <v xml:space="preserve"> </v>
      </c>
      <c r="U977" s="30" t="str">
        <f t="shared" si="393"/>
        <v xml:space="preserve"> </v>
      </c>
      <c r="V977" s="30" t="str">
        <f t="shared" si="394"/>
        <v xml:space="preserve"> </v>
      </c>
      <c r="W977" s="30" t="str">
        <f t="shared" si="394"/>
        <v xml:space="preserve"> </v>
      </c>
    </row>
    <row r="978" spans="1:23" ht="44.25" customHeight="1" x14ac:dyDescent="0.2">
      <c r="A978" s="72">
        <v>1161</v>
      </c>
      <c r="B978" s="76">
        <v>11002</v>
      </c>
      <c r="C978" s="1" t="s">
        <v>210</v>
      </c>
      <c r="D978" s="5">
        <f t="shared" ref="D978" si="454">SUM(E978:H978)</f>
        <v>0</v>
      </c>
      <c r="E978" s="6"/>
      <c r="F978" s="6"/>
      <c r="G978" s="6"/>
      <c r="H978" s="7"/>
      <c r="I978" s="5">
        <f t="shared" ref="I978" si="455">SUM(J978:M978)</f>
        <v>1440</v>
      </c>
      <c r="J978" s="6"/>
      <c r="K978" s="6"/>
      <c r="L978" s="6"/>
      <c r="M978" s="7">
        <v>1440</v>
      </c>
      <c r="N978" s="5">
        <f>SUM(O978:R978)</f>
        <v>1440</v>
      </c>
      <c r="O978" s="6"/>
      <c r="P978" s="6"/>
      <c r="Q978" s="6"/>
      <c r="R978" s="7">
        <v>1440</v>
      </c>
      <c r="S978" s="26">
        <f t="shared" si="391"/>
        <v>1</v>
      </c>
      <c r="T978" s="27" t="str">
        <f t="shared" si="392"/>
        <v xml:space="preserve"> </v>
      </c>
      <c r="U978" s="27" t="str">
        <f t="shared" si="393"/>
        <v xml:space="preserve"> </v>
      </c>
      <c r="V978" s="27" t="str">
        <f t="shared" si="394"/>
        <v xml:space="preserve"> </v>
      </c>
      <c r="W978" s="27">
        <f t="shared" si="394"/>
        <v>1</v>
      </c>
    </row>
    <row r="979" spans="1:23" s="38" customFormat="1" ht="45.75" customHeight="1" x14ac:dyDescent="0.2">
      <c r="A979" s="72"/>
      <c r="B979" s="73"/>
      <c r="C979" s="89" t="s">
        <v>52</v>
      </c>
      <c r="D979" s="5">
        <f t="shared" ref="D979:R979" si="456">D981</f>
        <v>4325</v>
      </c>
      <c r="E979" s="6">
        <f t="shared" si="456"/>
        <v>0</v>
      </c>
      <c r="F979" s="6">
        <f t="shared" si="456"/>
        <v>0</v>
      </c>
      <c r="G979" s="6">
        <f t="shared" si="456"/>
        <v>0</v>
      </c>
      <c r="H979" s="7">
        <f t="shared" si="456"/>
        <v>4325</v>
      </c>
      <c r="I979" s="5">
        <f t="shared" si="456"/>
        <v>4325</v>
      </c>
      <c r="J979" s="6">
        <f t="shared" si="456"/>
        <v>0</v>
      </c>
      <c r="K979" s="6">
        <f t="shared" si="456"/>
        <v>0</v>
      </c>
      <c r="L979" s="6">
        <f t="shared" si="456"/>
        <v>0</v>
      </c>
      <c r="M979" s="7">
        <f t="shared" si="456"/>
        <v>4325</v>
      </c>
      <c r="N979" s="5">
        <f t="shared" si="456"/>
        <v>3820.52</v>
      </c>
      <c r="O979" s="6">
        <f t="shared" si="456"/>
        <v>0</v>
      </c>
      <c r="P979" s="6">
        <f t="shared" si="456"/>
        <v>0</v>
      </c>
      <c r="Q979" s="6">
        <f t="shared" si="456"/>
        <v>0</v>
      </c>
      <c r="R979" s="7">
        <f t="shared" si="456"/>
        <v>3820.52</v>
      </c>
      <c r="S979" s="26">
        <f t="shared" si="391"/>
        <v>0.88335722543352602</v>
      </c>
      <c r="T979" s="27" t="str">
        <f t="shared" si="392"/>
        <v xml:space="preserve"> </v>
      </c>
      <c r="U979" s="27" t="str">
        <f t="shared" si="393"/>
        <v xml:space="preserve"> </v>
      </c>
      <c r="V979" s="27" t="str">
        <f t="shared" si="394"/>
        <v xml:space="preserve"> </v>
      </c>
      <c r="W979" s="27">
        <f t="shared" si="394"/>
        <v>0.88335722543352602</v>
      </c>
    </row>
    <row r="980" spans="1:23" ht="16.5" x14ac:dyDescent="0.2">
      <c r="A980" s="74"/>
      <c r="B980" s="75"/>
      <c r="C980" s="4" t="s">
        <v>10</v>
      </c>
      <c r="D980" s="35"/>
      <c r="E980" s="36"/>
      <c r="F980" s="36"/>
      <c r="G980" s="36"/>
      <c r="H980" s="37"/>
      <c r="I980" s="35"/>
      <c r="J980" s="36"/>
      <c r="K980" s="36"/>
      <c r="L980" s="36"/>
      <c r="M980" s="37"/>
      <c r="N980" s="35"/>
      <c r="O980" s="36"/>
      <c r="P980" s="36"/>
      <c r="Q980" s="36"/>
      <c r="R980" s="37"/>
      <c r="S980" s="29" t="str">
        <f t="shared" si="391"/>
        <v xml:space="preserve"> </v>
      </c>
      <c r="T980" s="30" t="str">
        <f t="shared" si="392"/>
        <v xml:space="preserve"> </v>
      </c>
      <c r="U980" s="30" t="str">
        <f t="shared" si="393"/>
        <v xml:space="preserve"> </v>
      </c>
      <c r="V980" s="30" t="str">
        <f t="shared" si="394"/>
        <v xml:space="preserve"> </v>
      </c>
      <c r="W980" s="30" t="str">
        <f t="shared" si="394"/>
        <v xml:space="preserve"> </v>
      </c>
    </row>
    <row r="981" spans="1:23" ht="75.75" customHeight="1" x14ac:dyDescent="0.2">
      <c r="A981" s="72">
        <v>1060</v>
      </c>
      <c r="B981" s="76">
        <v>31001</v>
      </c>
      <c r="C981" s="1" t="s">
        <v>81</v>
      </c>
      <c r="D981" s="5">
        <f t="shared" ref="D981" si="457">SUM(E981:H981)</f>
        <v>4325</v>
      </c>
      <c r="E981" s="6"/>
      <c r="F981" s="6"/>
      <c r="G981" s="6"/>
      <c r="H981" s="7">
        <v>4325</v>
      </c>
      <c r="I981" s="5">
        <f t="shared" ref="I981" si="458">SUM(J981:M981)</f>
        <v>4325</v>
      </c>
      <c r="J981" s="6"/>
      <c r="K981" s="6"/>
      <c r="L981" s="6"/>
      <c r="M981" s="7">
        <v>4325</v>
      </c>
      <c r="N981" s="5">
        <f>SUM(O981:R981)</f>
        <v>3820.52</v>
      </c>
      <c r="O981" s="6"/>
      <c r="P981" s="6"/>
      <c r="Q981" s="6"/>
      <c r="R981" s="7">
        <v>3820.52</v>
      </c>
      <c r="S981" s="26">
        <f t="shared" si="391"/>
        <v>0.88335722543352602</v>
      </c>
      <c r="T981" s="27" t="str">
        <f t="shared" si="392"/>
        <v xml:space="preserve"> </v>
      </c>
      <c r="U981" s="27" t="str">
        <f t="shared" si="393"/>
        <v xml:space="preserve"> </v>
      </c>
      <c r="V981" s="27" t="str">
        <f t="shared" si="394"/>
        <v xml:space="preserve"> </v>
      </c>
      <c r="W981" s="27">
        <f t="shared" si="394"/>
        <v>0.88335722543352602</v>
      </c>
    </row>
    <row r="982" spans="1:23" s="38" customFormat="1" ht="30.75" customHeight="1" x14ac:dyDescent="0.2">
      <c r="A982" s="72"/>
      <c r="B982" s="73"/>
      <c r="C982" s="89" t="s">
        <v>127</v>
      </c>
      <c r="D982" s="5">
        <f>SUM(E982:H982)</f>
        <v>128974.9</v>
      </c>
      <c r="E982" s="6">
        <f>SUM(E984,E985,E986)</f>
        <v>0</v>
      </c>
      <c r="F982" s="6">
        <f>SUM(F984,F985,F986)</f>
        <v>128974.9</v>
      </c>
      <c r="G982" s="6">
        <f t="shared" ref="G982:H982" si="459">SUM(G984,G985,G986)</f>
        <v>0</v>
      </c>
      <c r="H982" s="7">
        <f t="shared" si="459"/>
        <v>0</v>
      </c>
      <c r="I982" s="5">
        <f>SUM(J982:M982)</f>
        <v>371287.45</v>
      </c>
      <c r="J982" s="6">
        <f>SUM(J984,J985,J986)</f>
        <v>0</v>
      </c>
      <c r="K982" s="6">
        <f t="shared" ref="K982:M982" si="460">SUM(K984,K985,K986)</f>
        <v>218247.7</v>
      </c>
      <c r="L982" s="6">
        <f t="shared" si="460"/>
        <v>1885</v>
      </c>
      <c r="M982" s="7">
        <f t="shared" si="460"/>
        <v>151154.75</v>
      </c>
      <c r="N982" s="5">
        <f>SUM(O982:R982)</f>
        <v>347923.73</v>
      </c>
      <c r="O982" s="6">
        <f>SUM(O984,O985,O986)</f>
        <v>0</v>
      </c>
      <c r="P982" s="6">
        <f t="shared" ref="P982:R982" si="461">SUM(P984,P985,P986)</f>
        <v>195453.03999999998</v>
      </c>
      <c r="Q982" s="6">
        <f t="shared" si="461"/>
        <v>1885</v>
      </c>
      <c r="R982" s="7">
        <f t="shared" si="461"/>
        <v>150585.69</v>
      </c>
      <c r="S982" s="26">
        <f t="shared" si="391"/>
        <v>0.93707376858549885</v>
      </c>
      <c r="T982" s="27" t="str">
        <f t="shared" si="392"/>
        <v xml:space="preserve"> </v>
      </c>
      <c r="U982" s="27">
        <f t="shared" si="393"/>
        <v>0.89555601273232188</v>
      </c>
      <c r="V982" s="27">
        <f t="shared" si="394"/>
        <v>1</v>
      </c>
      <c r="W982" s="27">
        <f t="shared" si="394"/>
        <v>0.99623524897497429</v>
      </c>
    </row>
    <row r="983" spans="1:23" ht="16.5" x14ac:dyDescent="0.2">
      <c r="A983" s="74"/>
      <c r="B983" s="75"/>
      <c r="C983" s="4" t="s">
        <v>10</v>
      </c>
      <c r="D983" s="35"/>
      <c r="E983" s="36"/>
      <c r="F983" s="36"/>
      <c r="G983" s="36"/>
      <c r="H983" s="37"/>
      <c r="I983" s="35"/>
      <c r="J983" s="36"/>
      <c r="K983" s="36"/>
      <c r="L983" s="36"/>
      <c r="M983" s="37"/>
      <c r="N983" s="35"/>
      <c r="O983" s="36"/>
      <c r="P983" s="36"/>
      <c r="Q983" s="36"/>
      <c r="R983" s="37"/>
      <c r="S983" s="29" t="str">
        <f t="shared" si="391"/>
        <v xml:space="preserve"> </v>
      </c>
      <c r="T983" s="30" t="str">
        <f t="shared" si="392"/>
        <v xml:space="preserve"> </v>
      </c>
      <c r="U983" s="30" t="str">
        <f t="shared" si="393"/>
        <v xml:space="preserve"> </v>
      </c>
      <c r="V983" s="30" t="str">
        <f t="shared" si="394"/>
        <v xml:space="preserve"> </v>
      </c>
      <c r="W983" s="30" t="str">
        <f t="shared" si="394"/>
        <v xml:space="preserve"> </v>
      </c>
    </row>
    <row r="984" spans="1:23" ht="46.5" customHeight="1" x14ac:dyDescent="0.2">
      <c r="A984" s="72">
        <v>1180</v>
      </c>
      <c r="B984" s="76">
        <v>11003</v>
      </c>
      <c r="C984" s="25" t="s">
        <v>524</v>
      </c>
      <c r="D984" s="5"/>
      <c r="E984" s="6"/>
      <c r="F984" s="6"/>
      <c r="G984" s="6"/>
      <c r="H984" s="7"/>
      <c r="I984" s="5">
        <f>SUM(J984:M984)</f>
        <v>31182.35</v>
      </c>
      <c r="J984" s="6"/>
      <c r="K984" s="6">
        <v>3870.1</v>
      </c>
      <c r="L984" s="6">
        <v>1885</v>
      </c>
      <c r="M984" s="7">
        <v>25427.25</v>
      </c>
      <c r="N984" s="5">
        <f>SUM(O984:R984)</f>
        <v>31176.29</v>
      </c>
      <c r="O984" s="6"/>
      <c r="P984" s="6">
        <v>3869.08</v>
      </c>
      <c r="Q984" s="6">
        <v>1885</v>
      </c>
      <c r="R984" s="7">
        <v>25422.21</v>
      </c>
      <c r="S984" s="26">
        <f t="shared" ref="S984:S1016" si="462">IF(I984=0," ",N984/I984)</f>
        <v>0.99980565929123377</v>
      </c>
      <c r="T984" s="27" t="str">
        <f t="shared" ref="T984:T1016" si="463">IF(J984=0," ",O984/J984)</f>
        <v xml:space="preserve"> </v>
      </c>
      <c r="U984" s="27">
        <f t="shared" ref="U984:U1016" si="464">IF(K984=0," ",P984/K984)</f>
        <v>0.99973644091883929</v>
      </c>
      <c r="V984" s="27">
        <f t="shared" ref="V984:W1016" si="465">IF(L984=0," ",Q984/L984)</f>
        <v>1</v>
      </c>
      <c r="W984" s="27">
        <f t="shared" si="465"/>
        <v>0.99980178745243775</v>
      </c>
    </row>
    <row r="985" spans="1:23" ht="49.5" customHeight="1" x14ac:dyDescent="0.2">
      <c r="A985" s="72">
        <v>1180</v>
      </c>
      <c r="B985" s="76">
        <v>31001</v>
      </c>
      <c r="C985" s="25" t="s">
        <v>525</v>
      </c>
      <c r="D985" s="35"/>
      <c r="E985" s="36"/>
      <c r="F985" s="36"/>
      <c r="G985" s="36"/>
      <c r="H985" s="37"/>
      <c r="I985" s="5">
        <f>SUM(J985:M985)</f>
        <v>125727.5</v>
      </c>
      <c r="J985" s="36"/>
      <c r="K985" s="36"/>
      <c r="L985" s="36"/>
      <c r="M985" s="7">
        <v>125727.5</v>
      </c>
      <c r="N985" s="5">
        <f>SUM(O985:R985)</f>
        <v>125163.48</v>
      </c>
      <c r="O985" s="36"/>
      <c r="P985" s="36"/>
      <c r="Q985" s="36"/>
      <c r="R985" s="7">
        <v>125163.48</v>
      </c>
      <c r="S985" s="26">
        <f t="shared" si="462"/>
        <v>0.99551394881787991</v>
      </c>
      <c r="T985" s="27" t="str">
        <f t="shared" si="463"/>
        <v xml:space="preserve"> </v>
      </c>
      <c r="U985" s="27" t="str">
        <f t="shared" si="464"/>
        <v xml:space="preserve"> </v>
      </c>
      <c r="V985" s="27" t="str">
        <f t="shared" si="465"/>
        <v xml:space="preserve"> </v>
      </c>
      <c r="W985" s="27">
        <f t="shared" si="465"/>
        <v>0.99551394881787991</v>
      </c>
    </row>
    <row r="986" spans="1:23" ht="46.5" customHeight="1" x14ac:dyDescent="0.2">
      <c r="A986" s="72">
        <v>1180</v>
      </c>
      <c r="B986" s="76">
        <v>31004</v>
      </c>
      <c r="C986" s="1" t="s">
        <v>166</v>
      </c>
      <c r="D986" s="5">
        <f>SUM(E986:H986)</f>
        <v>128974.9</v>
      </c>
      <c r="E986" s="6"/>
      <c r="F986" s="6">
        <v>128974.9</v>
      </c>
      <c r="G986" s="6"/>
      <c r="H986" s="7"/>
      <c r="I986" s="5">
        <f>SUM(J986:M986)</f>
        <v>214377.60000000001</v>
      </c>
      <c r="J986" s="6"/>
      <c r="K986" s="6">
        <f>SUM(K988:K990)</f>
        <v>214377.60000000001</v>
      </c>
      <c r="L986" s="6"/>
      <c r="M986" s="7"/>
      <c r="N986" s="5">
        <f>SUM(O986:R986)</f>
        <v>191583.96</v>
      </c>
      <c r="O986" s="6"/>
      <c r="P986" s="6">
        <f>SUM(P988:P990)</f>
        <v>191583.96</v>
      </c>
      <c r="Q986" s="6"/>
      <c r="R986" s="7"/>
      <c r="S986" s="26">
        <f t="shared" si="462"/>
        <v>0.89367527204334773</v>
      </c>
      <c r="T986" s="27" t="str">
        <f t="shared" si="463"/>
        <v xml:space="preserve"> </v>
      </c>
      <c r="U986" s="27">
        <f t="shared" si="464"/>
        <v>0.89367527204334773</v>
      </c>
      <c r="V986" s="27" t="str">
        <f t="shared" si="465"/>
        <v xml:space="preserve"> </v>
      </c>
      <c r="W986" s="27" t="str">
        <f t="shared" si="465"/>
        <v xml:space="preserve"> </v>
      </c>
    </row>
    <row r="987" spans="1:23" ht="24" customHeight="1" x14ac:dyDescent="0.2">
      <c r="A987" s="74"/>
      <c r="B987" s="75"/>
      <c r="C987" s="4" t="s">
        <v>10</v>
      </c>
      <c r="D987" s="35"/>
      <c r="E987" s="36"/>
      <c r="F987" s="36"/>
      <c r="G987" s="36"/>
      <c r="H987" s="37"/>
      <c r="I987" s="35"/>
      <c r="J987" s="36"/>
      <c r="K987" s="36"/>
      <c r="L987" s="36"/>
      <c r="M987" s="37"/>
      <c r="N987" s="35"/>
      <c r="O987" s="36"/>
      <c r="P987" s="36"/>
      <c r="Q987" s="36"/>
      <c r="R987" s="37"/>
      <c r="S987" s="29" t="str">
        <f t="shared" si="462"/>
        <v xml:space="preserve"> </v>
      </c>
      <c r="T987" s="30" t="str">
        <f t="shared" si="463"/>
        <v xml:space="preserve"> </v>
      </c>
      <c r="U987" s="30" t="str">
        <f t="shared" si="464"/>
        <v xml:space="preserve"> </v>
      </c>
      <c r="V987" s="30" t="str">
        <f t="shared" si="465"/>
        <v xml:space="preserve"> </v>
      </c>
      <c r="W987" s="30" t="str">
        <f t="shared" si="465"/>
        <v xml:space="preserve"> </v>
      </c>
    </row>
    <row r="988" spans="1:23" ht="93.75" customHeight="1" x14ac:dyDescent="0.2">
      <c r="A988" s="74"/>
      <c r="B988" s="75"/>
      <c r="C988" s="4" t="s">
        <v>526</v>
      </c>
      <c r="D988" s="35"/>
      <c r="E988" s="36"/>
      <c r="F988" s="36"/>
      <c r="G988" s="36"/>
      <c r="H988" s="37"/>
      <c r="I988" s="35">
        <f>SUM(J988:M988)</f>
        <v>43061.599999999999</v>
      </c>
      <c r="J988" s="36"/>
      <c r="K988" s="39">
        <v>43061.599999999999</v>
      </c>
      <c r="L988" s="36"/>
      <c r="M988" s="37"/>
      <c r="N988" s="35">
        <f>SUM(O988:R988)</f>
        <v>40683.919999999998</v>
      </c>
      <c r="O988" s="36"/>
      <c r="P988" s="36">
        <v>40683.919999999998</v>
      </c>
      <c r="Q988" s="36"/>
      <c r="R988" s="37"/>
      <c r="S988" s="29">
        <f t="shared" si="462"/>
        <v>0.94478421609972685</v>
      </c>
      <c r="T988" s="30" t="str">
        <f t="shared" si="463"/>
        <v xml:space="preserve"> </v>
      </c>
      <c r="U988" s="30">
        <f t="shared" si="464"/>
        <v>0.94478421609972685</v>
      </c>
      <c r="V988" s="30" t="str">
        <f t="shared" si="465"/>
        <v xml:space="preserve"> </v>
      </c>
      <c r="W988" s="30" t="str">
        <f t="shared" si="465"/>
        <v xml:space="preserve"> </v>
      </c>
    </row>
    <row r="989" spans="1:23" ht="90.75" customHeight="1" x14ac:dyDescent="0.2">
      <c r="A989" s="74"/>
      <c r="B989" s="75"/>
      <c r="C989" s="4" t="s">
        <v>527</v>
      </c>
      <c r="D989" s="35"/>
      <c r="E989" s="36"/>
      <c r="F989" s="36"/>
      <c r="G989" s="36"/>
      <c r="H989" s="37"/>
      <c r="I989" s="35">
        <f t="shared" ref="I989:I990" si="466">SUM(J989:M989)</f>
        <v>62154.100000000006</v>
      </c>
      <c r="J989" s="36"/>
      <c r="K989" s="39">
        <v>62154.100000000006</v>
      </c>
      <c r="L989" s="36"/>
      <c r="M989" s="37"/>
      <c r="N989" s="35">
        <f>SUM(O989:R989)</f>
        <v>62128.56</v>
      </c>
      <c r="O989" s="36"/>
      <c r="P989" s="36">
        <v>62128.56</v>
      </c>
      <c r="Q989" s="36"/>
      <c r="R989" s="37"/>
      <c r="S989" s="29">
        <f t="shared" si="462"/>
        <v>0.99958908583665429</v>
      </c>
      <c r="T989" s="30" t="str">
        <f t="shared" si="463"/>
        <v xml:space="preserve"> </v>
      </c>
      <c r="U989" s="30">
        <f t="shared" si="464"/>
        <v>0.99958908583665429</v>
      </c>
      <c r="V989" s="30" t="str">
        <f t="shared" si="465"/>
        <v xml:space="preserve"> </v>
      </c>
      <c r="W989" s="30" t="str">
        <f t="shared" si="465"/>
        <v xml:space="preserve"> </v>
      </c>
    </row>
    <row r="990" spans="1:23" ht="96" customHeight="1" x14ac:dyDescent="0.2">
      <c r="A990" s="74"/>
      <c r="B990" s="75"/>
      <c r="C990" s="4" t="s">
        <v>528</v>
      </c>
      <c r="D990" s="35"/>
      <c r="E990" s="36"/>
      <c r="F990" s="36"/>
      <c r="G990" s="36"/>
      <c r="H990" s="37"/>
      <c r="I990" s="35">
        <f t="shared" si="466"/>
        <v>109161.9</v>
      </c>
      <c r="J990" s="36"/>
      <c r="K990" s="39">
        <v>109161.9</v>
      </c>
      <c r="L990" s="36"/>
      <c r="M990" s="37"/>
      <c r="N990" s="35">
        <f>SUM(O990:R990)</f>
        <v>88771.48</v>
      </c>
      <c r="O990" s="36"/>
      <c r="P990" s="36">
        <v>88771.48</v>
      </c>
      <c r="Q990" s="36"/>
      <c r="R990" s="37"/>
      <c r="S990" s="29">
        <f t="shared" si="462"/>
        <v>0.81320937066870402</v>
      </c>
      <c r="T990" s="30" t="str">
        <f t="shared" si="463"/>
        <v xml:space="preserve"> </v>
      </c>
      <c r="U990" s="30">
        <f t="shared" si="464"/>
        <v>0.81320937066870402</v>
      </c>
      <c r="V990" s="30" t="str">
        <f t="shared" si="465"/>
        <v xml:space="preserve"> </v>
      </c>
      <c r="W990" s="30" t="str">
        <f t="shared" si="465"/>
        <v xml:space="preserve"> </v>
      </c>
    </row>
    <row r="991" spans="1:23" s="38" customFormat="1" ht="36.75" customHeight="1" x14ac:dyDescent="0.2">
      <c r="A991" s="72"/>
      <c r="B991" s="73"/>
      <c r="C991" s="89" t="s">
        <v>29</v>
      </c>
      <c r="D991" s="5">
        <f t="shared" ref="D991:F991" si="467">D993+D994+D999+D1000</f>
        <v>996997.2</v>
      </c>
      <c r="E991" s="6">
        <f t="shared" si="467"/>
        <v>420783.2</v>
      </c>
      <c r="F991" s="6">
        <f t="shared" si="467"/>
        <v>0</v>
      </c>
      <c r="G991" s="6">
        <f>G993+G994+G999+G1000</f>
        <v>575059</v>
      </c>
      <c r="H991" s="7">
        <f>H993+H994+H999+H1000</f>
        <v>1155</v>
      </c>
      <c r="I991" s="5">
        <f t="shared" ref="I991:K991" si="468">I993+I994+I999+I1000</f>
        <v>935322.3</v>
      </c>
      <c r="J991" s="6">
        <f t="shared" si="468"/>
        <v>512254.3</v>
      </c>
      <c r="K991" s="6">
        <f t="shared" si="468"/>
        <v>0</v>
      </c>
      <c r="L991" s="6">
        <f>L993+L994+L999+L1000</f>
        <v>418725</v>
      </c>
      <c r="M991" s="7">
        <f>M993+M994+M999+M1000</f>
        <v>4343</v>
      </c>
      <c r="N991" s="5">
        <f>SUM(O991:R991)</f>
        <v>706997.9800000001</v>
      </c>
      <c r="O991" s="6">
        <f t="shared" ref="O991:P991" si="469">O993+O994+O999+O1000</f>
        <v>284259.8</v>
      </c>
      <c r="P991" s="6">
        <f t="shared" si="469"/>
        <v>0</v>
      </c>
      <c r="Q991" s="6">
        <f>Q993+Q994+Q999+Q1000</f>
        <v>418425</v>
      </c>
      <c r="R991" s="7">
        <f>R993+R994+R999+R1000</f>
        <v>4313.18</v>
      </c>
      <c r="S991" s="26">
        <f t="shared" si="462"/>
        <v>0.75588701349256837</v>
      </c>
      <c r="T991" s="27">
        <f t="shared" si="463"/>
        <v>0.55491930472813988</v>
      </c>
      <c r="U991" s="27" t="str">
        <f t="shared" si="464"/>
        <v xml:space="preserve"> </v>
      </c>
      <c r="V991" s="27">
        <f t="shared" si="465"/>
        <v>0.99928353931578007</v>
      </c>
      <c r="W991" s="27">
        <f t="shared" si="465"/>
        <v>0.99313377849412854</v>
      </c>
    </row>
    <row r="992" spans="1:23" ht="16.5" x14ac:dyDescent="0.2">
      <c r="A992" s="74"/>
      <c r="B992" s="75"/>
      <c r="C992" s="4" t="s">
        <v>10</v>
      </c>
      <c r="D992" s="35"/>
      <c r="E992" s="36"/>
      <c r="F992" s="36"/>
      <c r="G992" s="36"/>
      <c r="H992" s="37"/>
      <c r="I992" s="35"/>
      <c r="J992" s="36"/>
      <c r="K992" s="36"/>
      <c r="L992" s="36"/>
      <c r="M992" s="37"/>
      <c r="N992" s="35"/>
      <c r="O992" s="36"/>
      <c r="P992" s="36"/>
      <c r="Q992" s="36"/>
      <c r="R992" s="37"/>
      <c r="S992" s="29" t="str">
        <f t="shared" si="462"/>
        <v xml:space="preserve"> </v>
      </c>
      <c r="T992" s="30" t="str">
        <f t="shared" si="463"/>
        <v xml:space="preserve"> </v>
      </c>
      <c r="U992" s="30" t="str">
        <f t="shared" si="464"/>
        <v xml:space="preserve"> </v>
      </c>
      <c r="V992" s="30" t="str">
        <f t="shared" si="465"/>
        <v xml:space="preserve"> </v>
      </c>
      <c r="W992" s="30" t="str">
        <f t="shared" si="465"/>
        <v xml:space="preserve"> </v>
      </c>
    </row>
    <row r="993" spans="1:23" s="38" customFormat="1" ht="56.25" customHeight="1" x14ac:dyDescent="0.2">
      <c r="A993" s="72">
        <v>1103</v>
      </c>
      <c r="B993" s="76">
        <v>11002</v>
      </c>
      <c r="C993" s="1" t="s">
        <v>30</v>
      </c>
      <c r="D993" s="5">
        <f>SUM(E993:H993)</f>
        <v>110375</v>
      </c>
      <c r="E993" s="6"/>
      <c r="F993" s="6"/>
      <c r="G993" s="6">
        <v>110375</v>
      </c>
      <c r="H993" s="7"/>
      <c r="I993" s="5">
        <f>SUM(J993:M993)</f>
        <v>117475</v>
      </c>
      <c r="J993" s="6"/>
      <c r="K993" s="6"/>
      <c r="L993" s="6">
        <v>117475</v>
      </c>
      <c r="M993" s="7"/>
      <c r="N993" s="5">
        <f>SUM(O993:R993)</f>
        <v>117475</v>
      </c>
      <c r="O993" s="6"/>
      <c r="P993" s="6"/>
      <c r="Q993" s="6">
        <v>117475</v>
      </c>
      <c r="R993" s="7"/>
      <c r="S993" s="26">
        <f t="shared" si="462"/>
        <v>1</v>
      </c>
      <c r="T993" s="27" t="str">
        <f t="shared" si="463"/>
        <v xml:space="preserve"> </v>
      </c>
      <c r="U993" s="27" t="str">
        <f t="shared" si="464"/>
        <v xml:space="preserve"> </v>
      </c>
      <c r="V993" s="27">
        <f t="shared" si="465"/>
        <v>1</v>
      </c>
      <c r="W993" s="27" t="str">
        <f t="shared" si="465"/>
        <v xml:space="preserve"> </v>
      </c>
    </row>
    <row r="994" spans="1:23" s="38" customFormat="1" ht="84.75" customHeight="1" x14ac:dyDescent="0.2">
      <c r="A994" s="72">
        <v>1103</v>
      </c>
      <c r="B994" s="76">
        <v>11003</v>
      </c>
      <c r="C994" s="1" t="s">
        <v>31</v>
      </c>
      <c r="D994" s="5">
        <f>SUM(E994:H994)</f>
        <v>464684</v>
      </c>
      <c r="E994" s="6">
        <f t="shared" ref="E994:F994" si="470">SUM(E996:E998)</f>
        <v>0</v>
      </c>
      <c r="F994" s="6">
        <f t="shared" si="470"/>
        <v>0</v>
      </c>
      <c r="G994" s="6">
        <f>SUM(G996:G998)</f>
        <v>464684</v>
      </c>
      <c r="H994" s="7">
        <f>SUM(H996:H998)</f>
        <v>0</v>
      </c>
      <c r="I994" s="5">
        <f>SUM(J994:M994)</f>
        <v>276950</v>
      </c>
      <c r="J994" s="6">
        <f t="shared" ref="J994:K994" si="471">SUM(J996:J998)</f>
        <v>0</v>
      </c>
      <c r="K994" s="6">
        <f t="shared" si="471"/>
        <v>0</v>
      </c>
      <c r="L994" s="6">
        <f>SUM(L996:L998)</f>
        <v>276950</v>
      </c>
      <c r="M994" s="7">
        <f>SUM(M996:M998)</f>
        <v>0</v>
      </c>
      <c r="N994" s="5">
        <f>SUM(O994:R994)</f>
        <v>276950</v>
      </c>
      <c r="O994" s="6">
        <f t="shared" ref="O994:P994" si="472">SUM(O996:O998)</f>
        <v>0</v>
      </c>
      <c r="P994" s="6">
        <f t="shared" si="472"/>
        <v>0</v>
      </c>
      <c r="Q994" s="6">
        <f>SUM(Q996:Q998)</f>
        <v>276950</v>
      </c>
      <c r="R994" s="7">
        <f>SUM(R996:R998)</f>
        <v>0</v>
      </c>
      <c r="S994" s="26">
        <f t="shared" si="462"/>
        <v>1</v>
      </c>
      <c r="T994" s="27" t="str">
        <f t="shared" si="463"/>
        <v xml:space="preserve"> </v>
      </c>
      <c r="U994" s="27" t="str">
        <f t="shared" si="464"/>
        <v xml:space="preserve"> </v>
      </c>
      <c r="V994" s="27">
        <f t="shared" si="465"/>
        <v>1</v>
      </c>
      <c r="W994" s="27" t="str">
        <f t="shared" si="465"/>
        <v xml:space="preserve"> </v>
      </c>
    </row>
    <row r="995" spans="1:23" ht="21" customHeight="1" x14ac:dyDescent="0.2">
      <c r="A995" s="74"/>
      <c r="B995" s="75"/>
      <c r="C995" s="4" t="s">
        <v>10</v>
      </c>
      <c r="D995" s="35"/>
      <c r="E995" s="36"/>
      <c r="F995" s="36"/>
      <c r="G995" s="36"/>
      <c r="H995" s="37"/>
      <c r="I995" s="35"/>
      <c r="J995" s="36"/>
      <c r="K995" s="36"/>
      <c r="L995" s="36"/>
      <c r="M995" s="37"/>
      <c r="N995" s="35"/>
      <c r="O995" s="36"/>
      <c r="P995" s="36"/>
      <c r="Q995" s="36"/>
      <c r="R995" s="37"/>
      <c r="S995" s="29" t="str">
        <f t="shared" si="462"/>
        <v xml:space="preserve"> </v>
      </c>
      <c r="T995" s="30" t="str">
        <f t="shared" si="463"/>
        <v xml:space="preserve"> </v>
      </c>
      <c r="U995" s="30" t="str">
        <f t="shared" si="464"/>
        <v xml:space="preserve"> </v>
      </c>
      <c r="V995" s="30" t="str">
        <f t="shared" si="465"/>
        <v xml:space="preserve"> </v>
      </c>
      <c r="W995" s="30" t="str">
        <f t="shared" si="465"/>
        <v xml:space="preserve"> </v>
      </c>
    </row>
    <row r="996" spans="1:23" ht="141" customHeight="1" x14ac:dyDescent="0.2">
      <c r="A996" s="74"/>
      <c r="B996" s="75"/>
      <c r="C996" s="4" t="s">
        <v>168</v>
      </c>
      <c r="D996" s="35">
        <f>SUM(E996:H996)</f>
        <v>96350</v>
      </c>
      <c r="E996" s="36"/>
      <c r="F996" s="36"/>
      <c r="G996" s="36">
        <v>96350</v>
      </c>
      <c r="H996" s="37"/>
      <c r="I996" s="35">
        <f>SUM(J996:M996)</f>
        <v>96350</v>
      </c>
      <c r="J996" s="36"/>
      <c r="K996" s="36"/>
      <c r="L996" s="36">
        <v>96350</v>
      </c>
      <c r="M996" s="37"/>
      <c r="N996" s="35">
        <f>SUM(O996:R996)</f>
        <v>96350</v>
      </c>
      <c r="O996" s="36"/>
      <c r="P996" s="36"/>
      <c r="Q996" s="36">
        <v>96350</v>
      </c>
      <c r="R996" s="37"/>
      <c r="S996" s="29">
        <f t="shared" si="462"/>
        <v>1</v>
      </c>
      <c r="T996" s="30" t="str">
        <f t="shared" si="463"/>
        <v xml:space="preserve"> </v>
      </c>
      <c r="U996" s="30" t="str">
        <f t="shared" si="464"/>
        <v xml:space="preserve"> </v>
      </c>
      <c r="V996" s="30">
        <f t="shared" si="465"/>
        <v>1</v>
      </c>
      <c r="W996" s="30" t="str">
        <f t="shared" si="465"/>
        <v xml:space="preserve"> </v>
      </c>
    </row>
    <row r="997" spans="1:23" ht="113.25" customHeight="1" x14ac:dyDescent="0.2">
      <c r="A997" s="74"/>
      <c r="B997" s="75"/>
      <c r="C997" s="4" t="s">
        <v>169</v>
      </c>
      <c r="D997" s="35">
        <f t="shared" ref="D997:D998" si="473">SUM(E997:H997)</f>
        <v>181000</v>
      </c>
      <c r="E997" s="36"/>
      <c r="F997" s="36"/>
      <c r="G997" s="36">
        <v>181000</v>
      </c>
      <c r="H997" s="37"/>
      <c r="I997" s="35">
        <f t="shared" ref="I997:I998" si="474">SUM(J997:M997)</f>
        <v>56400</v>
      </c>
      <c r="J997" s="36"/>
      <c r="K997" s="36"/>
      <c r="L997" s="36">
        <v>56400</v>
      </c>
      <c r="M997" s="37"/>
      <c r="N997" s="35">
        <f>SUM(O997:R997)</f>
        <v>56400</v>
      </c>
      <c r="O997" s="36"/>
      <c r="P997" s="36"/>
      <c r="Q997" s="36">
        <v>56400</v>
      </c>
      <c r="R997" s="37"/>
      <c r="S997" s="29">
        <f t="shared" si="462"/>
        <v>1</v>
      </c>
      <c r="T997" s="30" t="str">
        <f t="shared" si="463"/>
        <v xml:space="preserve"> </v>
      </c>
      <c r="U997" s="30" t="str">
        <f t="shared" si="464"/>
        <v xml:space="preserve"> </v>
      </c>
      <c r="V997" s="30">
        <f t="shared" si="465"/>
        <v>1</v>
      </c>
      <c r="W997" s="30" t="str">
        <f t="shared" si="465"/>
        <v xml:space="preserve"> </v>
      </c>
    </row>
    <row r="998" spans="1:23" ht="113.25" customHeight="1" x14ac:dyDescent="0.2">
      <c r="A998" s="74"/>
      <c r="B998" s="75"/>
      <c r="C998" s="4" t="s">
        <v>170</v>
      </c>
      <c r="D998" s="35">
        <f t="shared" si="473"/>
        <v>187334</v>
      </c>
      <c r="E998" s="36"/>
      <c r="F998" s="36"/>
      <c r="G998" s="36">
        <v>187334</v>
      </c>
      <c r="H998" s="37"/>
      <c r="I998" s="35">
        <f t="shared" si="474"/>
        <v>124200</v>
      </c>
      <c r="J998" s="36"/>
      <c r="K998" s="36"/>
      <c r="L998" s="36">
        <v>124200</v>
      </c>
      <c r="M998" s="37"/>
      <c r="N998" s="35">
        <f>SUM(O998:R998)</f>
        <v>124200</v>
      </c>
      <c r="O998" s="36"/>
      <c r="P998" s="36"/>
      <c r="Q998" s="36">
        <v>124200</v>
      </c>
      <c r="R998" s="37"/>
      <c r="S998" s="29">
        <f t="shared" si="462"/>
        <v>1</v>
      </c>
      <c r="T998" s="30" t="str">
        <f t="shared" si="463"/>
        <v xml:space="preserve"> </v>
      </c>
      <c r="U998" s="30" t="str">
        <f t="shared" si="464"/>
        <v xml:space="preserve"> </v>
      </c>
      <c r="V998" s="30">
        <f t="shared" si="465"/>
        <v>1</v>
      </c>
      <c r="W998" s="30" t="str">
        <f t="shared" si="465"/>
        <v xml:space="preserve"> </v>
      </c>
    </row>
    <row r="999" spans="1:23" s="38" customFormat="1" ht="63" customHeight="1" x14ac:dyDescent="0.2">
      <c r="A999" s="72">
        <v>1103</v>
      </c>
      <c r="B999" s="76">
        <v>21001</v>
      </c>
      <c r="C999" s="1" t="s">
        <v>167</v>
      </c>
      <c r="D999" s="5">
        <f>SUM(E999:H999)</f>
        <v>420783.2</v>
      </c>
      <c r="E999" s="6">
        <v>420783.2</v>
      </c>
      <c r="F999" s="6"/>
      <c r="G999" s="6"/>
      <c r="H999" s="7"/>
      <c r="I999" s="5">
        <f>SUM(J999:M999)</f>
        <v>536554.30000000005</v>
      </c>
      <c r="J999" s="6">
        <v>512254.3</v>
      </c>
      <c r="K999" s="6"/>
      <c r="L999" s="6">
        <v>24300</v>
      </c>
      <c r="M999" s="7"/>
      <c r="N999" s="5">
        <f>SUM(O999:R999)</f>
        <v>308259.8</v>
      </c>
      <c r="O999" s="6">
        <v>284259.8</v>
      </c>
      <c r="P999" s="6"/>
      <c r="Q999" s="6">
        <v>24000</v>
      </c>
      <c r="R999" s="7"/>
      <c r="S999" s="26">
        <f t="shared" si="462"/>
        <v>0.57451743467529748</v>
      </c>
      <c r="T999" s="27">
        <f t="shared" si="463"/>
        <v>0.55491930472813988</v>
      </c>
      <c r="U999" s="27" t="str">
        <f t="shared" si="464"/>
        <v xml:space="preserve"> </v>
      </c>
      <c r="V999" s="27">
        <f t="shared" si="465"/>
        <v>0.98765432098765427</v>
      </c>
      <c r="W999" s="27" t="str">
        <f t="shared" si="465"/>
        <v xml:space="preserve"> </v>
      </c>
    </row>
    <row r="1000" spans="1:23" s="38" customFormat="1" ht="82.5" customHeight="1" x14ac:dyDescent="0.2">
      <c r="A1000" s="72">
        <v>1103</v>
      </c>
      <c r="B1000" s="76">
        <v>31001</v>
      </c>
      <c r="C1000" s="1" t="s">
        <v>50</v>
      </c>
      <c r="D1000" s="5">
        <f>SUM(E1000:H1000)</f>
        <v>1155</v>
      </c>
      <c r="E1000" s="6"/>
      <c r="F1000" s="6"/>
      <c r="G1000" s="6"/>
      <c r="H1000" s="7">
        <v>1155</v>
      </c>
      <c r="I1000" s="5">
        <f>SUM(J1000:M1000)</f>
        <v>4343</v>
      </c>
      <c r="J1000" s="6"/>
      <c r="K1000" s="6"/>
      <c r="L1000" s="6"/>
      <c r="M1000" s="7">
        <v>4343</v>
      </c>
      <c r="N1000" s="5">
        <f>SUM(O1000:R1000)</f>
        <v>4313.18</v>
      </c>
      <c r="O1000" s="6"/>
      <c r="P1000" s="6"/>
      <c r="Q1000" s="6"/>
      <c r="R1000" s="7">
        <v>4313.18</v>
      </c>
      <c r="S1000" s="26">
        <f t="shared" si="462"/>
        <v>0.99313377849412854</v>
      </c>
      <c r="T1000" s="27" t="str">
        <f t="shared" si="463"/>
        <v xml:space="preserve"> </v>
      </c>
      <c r="U1000" s="27" t="str">
        <f t="shared" si="464"/>
        <v xml:space="preserve"> </v>
      </c>
      <c r="V1000" s="27" t="str">
        <f t="shared" si="465"/>
        <v xml:space="preserve"> </v>
      </c>
      <c r="W1000" s="27">
        <f t="shared" si="465"/>
        <v>0.99313377849412854</v>
      </c>
    </row>
    <row r="1001" spans="1:23" s="38" customFormat="1" ht="43.5" customHeight="1" x14ac:dyDescent="0.2">
      <c r="A1001" s="72"/>
      <c r="B1001" s="73"/>
      <c r="C1001" s="89" t="s">
        <v>79</v>
      </c>
      <c r="D1001" s="5">
        <f t="shared" ref="D1001:R1001" si="475">D1003</f>
        <v>17000</v>
      </c>
      <c r="E1001" s="6">
        <f t="shared" si="475"/>
        <v>0</v>
      </c>
      <c r="F1001" s="6">
        <f t="shared" si="475"/>
        <v>0</v>
      </c>
      <c r="G1001" s="6">
        <f t="shared" si="475"/>
        <v>0</v>
      </c>
      <c r="H1001" s="7">
        <f t="shared" si="475"/>
        <v>17000</v>
      </c>
      <c r="I1001" s="5">
        <f t="shared" si="475"/>
        <v>17000</v>
      </c>
      <c r="J1001" s="6">
        <f t="shared" si="475"/>
        <v>0</v>
      </c>
      <c r="K1001" s="6">
        <f t="shared" si="475"/>
        <v>0</v>
      </c>
      <c r="L1001" s="6">
        <f t="shared" si="475"/>
        <v>0</v>
      </c>
      <c r="M1001" s="7">
        <f t="shared" si="475"/>
        <v>17000</v>
      </c>
      <c r="N1001" s="5">
        <f t="shared" si="475"/>
        <v>13715.14</v>
      </c>
      <c r="O1001" s="6">
        <f t="shared" si="475"/>
        <v>0</v>
      </c>
      <c r="P1001" s="6">
        <f t="shared" si="475"/>
        <v>0</v>
      </c>
      <c r="Q1001" s="6">
        <f t="shared" si="475"/>
        <v>0</v>
      </c>
      <c r="R1001" s="7">
        <f t="shared" si="475"/>
        <v>13715.14</v>
      </c>
      <c r="S1001" s="26">
        <f t="shared" si="462"/>
        <v>0.80677294117647058</v>
      </c>
      <c r="T1001" s="27" t="str">
        <f t="shared" si="463"/>
        <v xml:space="preserve"> </v>
      </c>
      <c r="U1001" s="27" t="str">
        <f t="shared" si="464"/>
        <v xml:space="preserve"> </v>
      </c>
      <c r="V1001" s="27" t="str">
        <f t="shared" si="465"/>
        <v xml:space="preserve"> </v>
      </c>
      <c r="W1001" s="27">
        <f t="shared" si="465"/>
        <v>0.80677294117647058</v>
      </c>
    </row>
    <row r="1002" spans="1:23" ht="16.5" x14ac:dyDescent="0.2">
      <c r="A1002" s="74"/>
      <c r="B1002" s="75"/>
      <c r="C1002" s="4" t="s">
        <v>10</v>
      </c>
      <c r="D1002" s="35"/>
      <c r="E1002" s="36"/>
      <c r="F1002" s="36"/>
      <c r="G1002" s="36"/>
      <c r="H1002" s="37"/>
      <c r="I1002" s="35"/>
      <c r="J1002" s="36"/>
      <c r="K1002" s="36"/>
      <c r="L1002" s="36"/>
      <c r="M1002" s="37"/>
      <c r="N1002" s="35"/>
      <c r="O1002" s="36"/>
      <c r="P1002" s="36"/>
      <c r="Q1002" s="36"/>
      <c r="R1002" s="37"/>
      <c r="S1002" s="29" t="str">
        <f t="shared" si="462"/>
        <v xml:space="preserve"> </v>
      </c>
      <c r="T1002" s="30" t="str">
        <f t="shared" si="463"/>
        <v xml:space="preserve"> </v>
      </c>
      <c r="U1002" s="30" t="str">
        <f t="shared" si="464"/>
        <v xml:space="preserve"> </v>
      </c>
      <c r="V1002" s="30" t="str">
        <f t="shared" si="465"/>
        <v xml:space="preserve"> </v>
      </c>
      <c r="W1002" s="30" t="str">
        <f t="shared" si="465"/>
        <v xml:space="preserve"> </v>
      </c>
    </row>
    <row r="1003" spans="1:23" s="38" customFormat="1" ht="95.25" customHeight="1" x14ac:dyDescent="0.2">
      <c r="A1003" s="72">
        <v>1181</v>
      </c>
      <c r="B1003" s="76">
        <v>31001</v>
      </c>
      <c r="C1003" s="1" t="s">
        <v>80</v>
      </c>
      <c r="D1003" s="5">
        <f t="shared" ref="D1003" si="476">SUM(E1003:H1003)</f>
        <v>17000</v>
      </c>
      <c r="E1003" s="6"/>
      <c r="F1003" s="6"/>
      <c r="G1003" s="6"/>
      <c r="H1003" s="7">
        <v>17000</v>
      </c>
      <c r="I1003" s="5">
        <f t="shared" ref="I1003" si="477">SUM(J1003:M1003)</f>
        <v>17000</v>
      </c>
      <c r="J1003" s="6"/>
      <c r="K1003" s="6"/>
      <c r="L1003" s="6"/>
      <c r="M1003" s="7">
        <v>17000</v>
      </c>
      <c r="N1003" s="5">
        <f>SUM(O1003:R1003)</f>
        <v>13715.14</v>
      </c>
      <c r="O1003" s="6"/>
      <c r="P1003" s="6"/>
      <c r="Q1003" s="6"/>
      <c r="R1003" s="7">
        <v>13715.14</v>
      </c>
      <c r="S1003" s="26">
        <f t="shared" si="462"/>
        <v>0.80677294117647058</v>
      </c>
      <c r="T1003" s="27" t="str">
        <f t="shared" si="463"/>
        <v xml:space="preserve"> </v>
      </c>
      <c r="U1003" s="27" t="str">
        <f t="shared" si="464"/>
        <v xml:space="preserve"> </v>
      </c>
      <c r="V1003" s="27" t="str">
        <f t="shared" si="465"/>
        <v xml:space="preserve"> </v>
      </c>
      <c r="W1003" s="27">
        <f t="shared" si="465"/>
        <v>0.80677294117647058</v>
      </c>
    </row>
    <row r="1004" spans="1:23" s="38" customFormat="1" ht="46.5" customHeight="1" x14ac:dyDescent="0.2">
      <c r="A1004" s="72"/>
      <c r="B1004" s="73"/>
      <c r="C1004" s="89" t="s">
        <v>51</v>
      </c>
      <c r="D1004" s="5">
        <f>SUM(D1006:D1007)</f>
        <v>16000</v>
      </c>
      <c r="E1004" s="6">
        <f t="shared" ref="E1004:R1004" si="478">SUM(E1006:E1007)</f>
        <v>0</v>
      </c>
      <c r="F1004" s="6">
        <f t="shared" si="478"/>
        <v>0</v>
      </c>
      <c r="G1004" s="6">
        <f t="shared" si="478"/>
        <v>0</v>
      </c>
      <c r="H1004" s="7">
        <f t="shared" si="478"/>
        <v>16000</v>
      </c>
      <c r="I1004" s="5">
        <f t="shared" si="478"/>
        <v>21715</v>
      </c>
      <c r="J1004" s="6">
        <f t="shared" si="478"/>
        <v>0</v>
      </c>
      <c r="K1004" s="6">
        <f t="shared" si="478"/>
        <v>0</v>
      </c>
      <c r="L1004" s="6">
        <f t="shared" si="478"/>
        <v>5715</v>
      </c>
      <c r="M1004" s="7">
        <f t="shared" si="478"/>
        <v>16000</v>
      </c>
      <c r="N1004" s="5">
        <f t="shared" si="478"/>
        <v>21364.98</v>
      </c>
      <c r="O1004" s="6">
        <f t="shared" si="478"/>
        <v>0</v>
      </c>
      <c r="P1004" s="6">
        <f t="shared" si="478"/>
        <v>0</v>
      </c>
      <c r="Q1004" s="6">
        <f t="shared" si="478"/>
        <v>5715</v>
      </c>
      <c r="R1004" s="7">
        <f t="shared" si="478"/>
        <v>15649.98</v>
      </c>
      <c r="S1004" s="26">
        <f t="shared" si="462"/>
        <v>0.98388118811881187</v>
      </c>
      <c r="T1004" s="27" t="str">
        <f t="shared" si="463"/>
        <v xml:space="preserve"> </v>
      </c>
      <c r="U1004" s="27" t="str">
        <f t="shared" si="464"/>
        <v xml:space="preserve"> </v>
      </c>
      <c r="V1004" s="27">
        <f t="shared" si="465"/>
        <v>1</v>
      </c>
      <c r="W1004" s="27">
        <f t="shared" si="465"/>
        <v>0.97812374999999996</v>
      </c>
    </row>
    <row r="1005" spans="1:23" ht="16.5" x14ac:dyDescent="0.2">
      <c r="A1005" s="74"/>
      <c r="B1005" s="75"/>
      <c r="C1005" s="4" t="s">
        <v>10</v>
      </c>
      <c r="D1005" s="35"/>
      <c r="E1005" s="36"/>
      <c r="F1005" s="36"/>
      <c r="G1005" s="36"/>
      <c r="H1005" s="37"/>
      <c r="I1005" s="35"/>
      <c r="J1005" s="36"/>
      <c r="K1005" s="36"/>
      <c r="L1005" s="36"/>
      <c r="M1005" s="37"/>
      <c r="N1005" s="35"/>
      <c r="O1005" s="36"/>
      <c r="P1005" s="36"/>
      <c r="Q1005" s="36"/>
      <c r="R1005" s="37"/>
      <c r="S1005" s="29" t="str">
        <f t="shared" si="462"/>
        <v xml:space="preserve"> </v>
      </c>
      <c r="T1005" s="30" t="str">
        <f t="shared" si="463"/>
        <v xml:space="preserve"> </v>
      </c>
      <c r="U1005" s="30" t="str">
        <f t="shared" si="464"/>
        <v xml:space="preserve"> </v>
      </c>
      <c r="V1005" s="30" t="str">
        <f t="shared" si="465"/>
        <v xml:space="preserve"> </v>
      </c>
      <c r="W1005" s="30" t="str">
        <f t="shared" si="465"/>
        <v xml:space="preserve"> </v>
      </c>
    </row>
    <row r="1006" spans="1:23" s="38" customFormat="1" ht="66.75" customHeight="1" x14ac:dyDescent="0.2">
      <c r="A1006" s="72">
        <v>1203</v>
      </c>
      <c r="B1006" s="76">
        <v>31001</v>
      </c>
      <c r="C1006" s="1" t="s">
        <v>82</v>
      </c>
      <c r="D1006" s="5">
        <f t="shared" ref="D1006" si="479">SUM(E1006:H1006)</f>
        <v>16000</v>
      </c>
      <c r="E1006" s="6"/>
      <c r="F1006" s="6"/>
      <c r="G1006" s="6"/>
      <c r="H1006" s="7">
        <v>16000</v>
      </c>
      <c r="I1006" s="5">
        <f t="shared" ref="I1006" si="480">SUM(J1006:M1006)</f>
        <v>16000</v>
      </c>
      <c r="J1006" s="6"/>
      <c r="K1006" s="6"/>
      <c r="L1006" s="6"/>
      <c r="M1006" s="7">
        <v>16000</v>
      </c>
      <c r="N1006" s="5">
        <f>SUM(O1006:R1006)</f>
        <v>15649.98</v>
      </c>
      <c r="O1006" s="6"/>
      <c r="P1006" s="6"/>
      <c r="Q1006" s="6"/>
      <c r="R1006" s="7">
        <v>15649.98</v>
      </c>
      <c r="S1006" s="26">
        <f t="shared" si="462"/>
        <v>0.97812374999999996</v>
      </c>
      <c r="T1006" s="27" t="str">
        <f t="shared" si="463"/>
        <v xml:space="preserve"> </v>
      </c>
      <c r="U1006" s="27" t="str">
        <f t="shared" si="464"/>
        <v xml:space="preserve"> </v>
      </c>
      <c r="V1006" s="27" t="str">
        <f t="shared" si="465"/>
        <v xml:space="preserve"> </v>
      </c>
      <c r="W1006" s="27">
        <f t="shared" si="465"/>
        <v>0.97812374999999996</v>
      </c>
    </row>
    <row r="1007" spans="1:23" s="38" customFormat="1" ht="66" customHeight="1" x14ac:dyDescent="0.2">
      <c r="A1007" s="72">
        <v>1203</v>
      </c>
      <c r="B1007" s="76">
        <v>31003</v>
      </c>
      <c r="C1007" s="1" t="s">
        <v>211</v>
      </c>
      <c r="D1007" s="5">
        <f t="shared" ref="D1007" si="481">SUM(E1007:H1007)</f>
        <v>0</v>
      </c>
      <c r="E1007" s="6"/>
      <c r="F1007" s="6"/>
      <c r="G1007" s="6"/>
      <c r="H1007" s="7"/>
      <c r="I1007" s="5">
        <f t="shared" ref="I1007" si="482">SUM(J1007:M1007)</f>
        <v>5715</v>
      </c>
      <c r="J1007" s="6"/>
      <c r="K1007" s="6"/>
      <c r="L1007" s="6">
        <v>5715</v>
      </c>
      <c r="M1007" s="7"/>
      <c r="N1007" s="5">
        <f>SUM(O1007:R1007)</f>
        <v>5715</v>
      </c>
      <c r="O1007" s="6"/>
      <c r="P1007" s="6"/>
      <c r="Q1007" s="6">
        <v>5715</v>
      </c>
      <c r="R1007" s="7"/>
      <c r="S1007" s="26">
        <f t="shared" si="462"/>
        <v>1</v>
      </c>
      <c r="T1007" s="27" t="str">
        <f t="shared" si="463"/>
        <v xml:space="preserve"> </v>
      </c>
      <c r="U1007" s="27" t="str">
        <f t="shared" si="464"/>
        <v xml:space="preserve"> </v>
      </c>
      <c r="V1007" s="27">
        <f t="shared" si="465"/>
        <v>1</v>
      </c>
      <c r="W1007" s="27" t="str">
        <f t="shared" si="465"/>
        <v xml:space="preserve"> </v>
      </c>
    </row>
    <row r="1008" spans="1:23" s="38" customFormat="1" ht="28.5" customHeight="1" x14ac:dyDescent="0.2">
      <c r="A1008" s="72"/>
      <c r="B1008" s="73"/>
      <c r="C1008" s="89" t="s">
        <v>212</v>
      </c>
      <c r="D1008" s="5">
        <f t="shared" ref="D1008:R1008" si="483">D1010</f>
        <v>0</v>
      </c>
      <c r="E1008" s="6">
        <f t="shared" si="483"/>
        <v>0</v>
      </c>
      <c r="F1008" s="6">
        <f t="shared" si="483"/>
        <v>0</v>
      </c>
      <c r="G1008" s="6">
        <f t="shared" si="483"/>
        <v>0</v>
      </c>
      <c r="H1008" s="7">
        <f t="shared" si="483"/>
        <v>0</v>
      </c>
      <c r="I1008" s="5">
        <f t="shared" si="483"/>
        <v>140</v>
      </c>
      <c r="J1008" s="6">
        <f t="shared" si="483"/>
        <v>0</v>
      </c>
      <c r="K1008" s="6">
        <f t="shared" si="483"/>
        <v>0</v>
      </c>
      <c r="L1008" s="6">
        <f t="shared" si="483"/>
        <v>0</v>
      </c>
      <c r="M1008" s="7">
        <f t="shared" si="483"/>
        <v>140</v>
      </c>
      <c r="N1008" s="5">
        <f t="shared" si="483"/>
        <v>140</v>
      </c>
      <c r="O1008" s="6">
        <f t="shared" si="483"/>
        <v>0</v>
      </c>
      <c r="P1008" s="6">
        <f t="shared" si="483"/>
        <v>0</v>
      </c>
      <c r="Q1008" s="6">
        <f t="shared" si="483"/>
        <v>0</v>
      </c>
      <c r="R1008" s="7">
        <f t="shared" si="483"/>
        <v>140</v>
      </c>
      <c r="S1008" s="26">
        <f t="shared" si="462"/>
        <v>1</v>
      </c>
      <c r="T1008" s="27" t="str">
        <f t="shared" si="463"/>
        <v xml:space="preserve"> </v>
      </c>
      <c r="U1008" s="27" t="str">
        <f t="shared" si="464"/>
        <v xml:space="preserve"> </v>
      </c>
      <c r="V1008" s="27" t="str">
        <f t="shared" si="465"/>
        <v xml:space="preserve"> </v>
      </c>
      <c r="W1008" s="27">
        <f t="shared" si="465"/>
        <v>1</v>
      </c>
    </row>
    <row r="1009" spans="1:23" ht="25.5" customHeight="1" x14ac:dyDescent="0.2">
      <c r="A1009" s="74"/>
      <c r="B1009" s="75"/>
      <c r="C1009" s="4" t="s">
        <v>10</v>
      </c>
      <c r="D1009" s="35"/>
      <c r="E1009" s="36"/>
      <c r="F1009" s="36"/>
      <c r="G1009" s="36"/>
      <c r="H1009" s="37"/>
      <c r="I1009" s="35"/>
      <c r="J1009" s="36"/>
      <c r="K1009" s="36"/>
      <c r="L1009" s="36"/>
      <c r="M1009" s="37"/>
      <c r="N1009" s="35"/>
      <c r="O1009" s="36"/>
      <c r="P1009" s="36"/>
      <c r="Q1009" s="36"/>
      <c r="R1009" s="37"/>
      <c r="S1009" s="29" t="str">
        <f t="shared" si="462"/>
        <v xml:space="preserve"> </v>
      </c>
      <c r="T1009" s="30" t="str">
        <f t="shared" si="463"/>
        <v xml:space="preserve"> </v>
      </c>
      <c r="U1009" s="30" t="str">
        <f t="shared" si="464"/>
        <v xml:space="preserve"> </v>
      </c>
      <c r="V1009" s="30" t="str">
        <f t="shared" si="465"/>
        <v xml:space="preserve"> </v>
      </c>
      <c r="W1009" s="30" t="str">
        <f t="shared" si="465"/>
        <v xml:space="preserve"> </v>
      </c>
    </row>
    <row r="1010" spans="1:23" s="38" customFormat="1" ht="51" customHeight="1" x14ac:dyDescent="0.2">
      <c r="A1010" s="72">
        <v>1231</v>
      </c>
      <c r="B1010" s="76">
        <v>11002</v>
      </c>
      <c r="C1010" s="1" t="s">
        <v>213</v>
      </c>
      <c r="D1010" s="5">
        <f t="shared" ref="D1010" si="484">SUM(E1010:H1010)</f>
        <v>0</v>
      </c>
      <c r="E1010" s="6"/>
      <c r="F1010" s="6"/>
      <c r="G1010" s="6"/>
      <c r="H1010" s="7"/>
      <c r="I1010" s="5">
        <f t="shared" ref="I1010" si="485">SUM(J1010:M1010)</f>
        <v>140</v>
      </c>
      <c r="J1010" s="6"/>
      <c r="K1010" s="6"/>
      <c r="L1010" s="6"/>
      <c r="M1010" s="7">
        <v>140</v>
      </c>
      <c r="N1010" s="5">
        <f>SUM(O1010:R1010)</f>
        <v>140</v>
      </c>
      <c r="O1010" s="6"/>
      <c r="P1010" s="6"/>
      <c r="Q1010" s="6"/>
      <c r="R1010" s="7">
        <v>140</v>
      </c>
      <c r="S1010" s="26">
        <f t="shared" si="462"/>
        <v>1</v>
      </c>
      <c r="T1010" s="27" t="str">
        <f t="shared" si="463"/>
        <v xml:space="preserve"> </v>
      </c>
      <c r="U1010" s="27" t="str">
        <f t="shared" si="464"/>
        <v xml:space="preserve"> </v>
      </c>
      <c r="V1010" s="27" t="str">
        <f t="shared" si="465"/>
        <v xml:space="preserve"> </v>
      </c>
      <c r="W1010" s="27">
        <f t="shared" si="465"/>
        <v>1</v>
      </c>
    </row>
    <row r="1011" spans="1:23" s="38" customFormat="1" ht="24.75" customHeight="1" x14ac:dyDescent="0.2">
      <c r="A1011" s="72"/>
      <c r="B1011" s="73"/>
      <c r="C1011" s="89" t="s">
        <v>83</v>
      </c>
      <c r="D1011" s="5">
        <f t="shared" ref="D1011:R1011" si="486">D1013</f>
        <v>1500</v>
      </c>
      <c r="E1011" s="6">
        <f t="shared" si="486"/>
        <v>0</v>
      </c>
      <c r="F1011" s="6">
        <f t="shared" si="486"/>
        <v>0</v>
      </c>
      <c r="G1011" s="6">
        <f t="shared" si="486"/>
        <v>0</v>
      </c>
      <c r="H1011" s="7">
        <f t="shared" si="486"/>
        <v>1500</v>
      </c>
      <c r="I1011" s="5">
        <f t="shared" si="486"/>
        <v>1500</v>
      </c>
      <c r="J1011" s="6">
        <f t="shared" si="486"/>
        <v>0</v>
      </c>
      <c r="K1011" s="6">
        <f t="shared" si="486"/>
        <v>0</v>
      </c>
      <c r="L1011" s="6">
        <f t="shared" si="486"/>
        <v>0</v>
      </c>
      <c r="M1011" s="7">
        <f t="shared" si="486"/>
        <v>1500</v>
      </c>
      <c r="N1011" s="5">
        <f t="shared" si="486"/>
        <v>1466.12</v>
      </c>
      <c r="O1011" s="6">
        <f t="shared" si="486"/>
        <v>0</v>
      </c>
      <c r="P1011" s="6">
        <f t="shared" si="486"/>
        <v>0</v>
      </c>
      <c r="Q1011" s="6">
        <f t="shared" si="486"/>
        <v>0</v>
      </c>
      <c r="R1011" s="7">
        <f t="shared" si="486"/>
        <v>1466.12</v>
      </c>
      <c r="S1011" s="26">
        <f t="shared" si="462"/>
        <v>0.97741333333333325</v>
      </c>
      <c r="T1011" s="27" t="str">
        <f t="shared" si="463"/>
        <v xml:space="preserve"> </v>
      </c>
      <c r="U1011" s="27" t="str">
        <f t="shared" si="464"/>
        <v xml:space="preserve"> </v>
      </c>
      <c r="V1011" s="27" t="str">
        <f t="shared" si="465"/>
        <v xml:space="preserve"> </v>
      </c>
      <c r="W1011" s="27">
        <f t="shared" si="465"/>
        <v>0.97741333333333325</v>
      </c>
    </row>
    <row r="1012" spans="1:23" ht="16.5" x14ac:dyDescent="0.2">
      <c r="A1012" s="74"/>
      <c r="B1012" s="75"/>
      <c r="C1012" s="4" t="s">
        <v>10</v>
      </c>
      <c r="D1012" s="35"/>
      <c r="E1012" s="36"/>
      <c r="F1012" s="36"/>
      <c r="G1012" s="36"/>
      <c r="H1012" s="37"/>
      <c r="I1012" s="35"/>
      <c r="J1012" s="36"/>
      <c r="K1012" s="36"/>
      <c r="L1012" s="36"/>
      <c r="M1012" s="37"/>
      <c r="N1012" s="35"/>
      <c r="O1012" s="36"/>
      <c r="P1012" s="36"/>
      <c r="Q1012" s="36"/>
      <c r="R1012" s="37"/>
      <c r="S1012" s="29" t="str">
        <f t="shared" si="462"/>
        <v xml:space="preserve"> </v>
      </c>
      <c r="T1012" s="30" t="str">
        <f t="shared" si="463"/>
        <v xml:space="preserve"> </v>
      </c>
      <c r="U1012" s="30" t="str">
        <f t="shared" si="464"/>
        <v xml:space="preserve"> </v>
      </c>
      <c r="V1012" s="30" t="str">
        <f t="shared" si="465"/>
        <v xml:space="preserve"> </v>
      </c>
      <c r="W1012" s="30" t="str">
        <f t="shared" si="465"/>
        <v xml:space="preserve"> </v>
      </c>
    </row>
    <row r="1013" spans="1:23" s="38" customFormat="1" ht="65.25" customHeight="1" x14ac:dyDescent="0.2">
      <c r="A1013" s="72">
        <v>1030</v>
      </c>
      <c r="B1013" s="76">
        <v>31001</v>
      </c>
      <c r="C1013" s="1" t="s">
        <v>84</v>
      </c>
      <c r="D1013" s="5">
        <f t="shared" ref="D1013" si="487">SUM(E1013:H1013)</f>
        <v>1500</v>
      </c>
      <c r="E1013" s="6"/>
      <c r="F1013" s="6"/>
      <c r="G1013" s="6"/>
      <c r="H1013" s="7">
        <v>1500</v>
      </c>
      <c r="I1013" s="5">
        <f t="shared" ref="I1013" si="488">SUM(J1013:M1013)</f>
        <v>1500</v>
      </c>
      <c r="J1013" s="6"/>
      <c r="K1013" s="6"/>
      <c r="L1013" s="6"/>
      <c r="M1013" s="7">
        <v>1500</v>
      </c>
      <c r="N1013" s="5">
        <f>SUM(O1013:R1013)</f>
        <v>1466.12</v>
      </c>
      <c r="O1013" s="6"/>
      <c r="P1013" s="6"/>
      <c r="Q1013" s="6"/>
      <c r="R1013" s="7">
        <v>1466.12</v>
      </c>
      <c r="S1013" s="26">
        <f t="shared" si="462"/>
        <v>0.97741333333333325</v>
      </c>
      <c r="T1013" s="27" t="str">
        <f t="shared" si="463"/>
        <v xml:space="preserve"> </v>
      </c>
      <c r="U1013" s="27" t="str">
        <f t="shared" si="464"/>
        <v xml:space="preserve"> </v>
      </c>
      <c r="V1013" s="27" t="str">
        <f t="shared" si="465"/>
        <v xml:space="preserve"> </v>
      </c>
      <c r="W1013" s="27">
        <f t="shared" si="465"/>
        <v>0.97741333333333325</v>
      </c>
    </row>
    <row r="1014" spans="1:23" s="38" customFormat="1" ht="31.5" customHeight="1" x14ac:dyDescent="0.2">
      <c r="A1014" s="72"/>
      <c r="B1014" s="73"/>
      <c r="C1014" s="89" t="s">
        <v>85</v>
      </c>
      <c r="D1014" s="5">
        <f t="shared" ref="D1014:R1014" si="489">D1016</f>
        <v>3000</v>
      </c>
      <c r="E1014" s="6">
        <f t="shared" si="489"/>
        <v>0</v>
      </c>
      <c r="F1014" s="6">
        <f t="shared" si="489"/>
        <v>0</v>
      </c>
      <c r="G1014" s="6">
        <f t="shared" si="489"/>
        <v>0</v>
      </c>
      <c r="H1014" s="7">
        <f t="shared" si="489"/>
        <v>3000</v>
      </c>
      <c r="I1014" s="5">
        <f t="shared" si="489"/>
        <v>3000</v>
      </c>
      <c r="J1014" s="6">
        <f t="shared" si="489"/>
        <v>0</v>
      </c>
      <c r="K1014" s="6">
        <f t="shared" si="489"/>
        <v>0</v>
      </c>
      <c r="L1014" s="6">
        <f t="shared" si="489"/>
        <v>0</v>
      </c>
      <c r="M1014" s="7">
        <f t="shared" si="489"/>
        <v>3000</v>
      </c>
      <c r="N1014" s="5">
        <f t="shared" si="489"/>
        <v>2999.92</v>
      </c>
      <c r="O1014" s="6">
        <f t="shared" si="489"/>
        <v>0</v>
      </c>
      <c r="P1014" s="6">
        <f t="shared" si="489"/>
        <v>0</v>
      </c>
      <c r="Q1014" s="6">
        <f t="shared" si="489"/>
        <v>0</v>
      </c>
      <c r="R1014" s="7">
        <f t="shared" si="489"/>
        <v>2999.92</v>
      </c>
      <c r="S1014" s="26">
        <f t="shared" si="462"/>
        <v>0.99997333333333338</v>
      </c>
      <c r="T1014" s="27" t="str">
        <f t="shared" si="463"/>
        <v xml:space="preserve"> </v>
      </c>
      <c r="U1014" s="27" t="str">
        <f t="shared" si="464"/>
        <v xml:space="preserve"> </v>
      </c>
      <c r="V1014" s="27" t="str">
        <f t="shared" si="465"/>
        <v xml:space="preserve"> </v>
      </c>
      <c r="W1014" s="27">
        <f t="shared" si="465"/>
        <v>0.99997333333333338</v>
      </c>
    </row>
    <row r="1015" spans="1:23" ht="16.5" x14ac:dyDescent="0.2">
      <c r="A1015" s="74"/>
      <c r="B1015" s="75"/>
      <c r="C1015" s="4" t="s">
        <v>10</v>
      </c>
      <c r="D1015" s="35"/>
      <c r="E1015" s="36"/>
      <c r="F1015" s="36"/>
      <c r="G1015" s="36"/>
      <c r="H1015" s="37"/>
      <c r="I1015" s="35"/>
      <c r="J1015" s="36"/>
      <c r="K1015" s="36"/>
      <c r="L1015" s="36"/>
      <c r="M1015" s="37"/>
      <c r="N1015" s="35"/>
      <c r="O1015" s="36"/>
      <c r="P1015" s="36"/>
      <c r="Q1015" s="36"/>
      <c r="R1015" s="37"/>
      <c r="S1015" s="29" t="str">
        <f t="shared" si="462"/>
        <v xml:space="preserve"> </v>
      </c>
      <c r="T1015" s="30" t="str">
        <f t="shared" si="463"/>
        <v xml:space="preserve"> </v>
      </c>
      <c r="U1015" s="30" t="str">
        <f t="shared" si="464"/>
        <v xml:space="preserve"> </v>
      </c>
      <c r="V1015" s="30" t="str">
        <f t="shared" si="465"/>
        <v xml:space="preserve"> </v>
      </c>
      <c r="W1015" s="30" t="str">
        <f t="shared" si="465"/>
        <v xml:space="preserve"> </v>
      </c>
    </row>
    <row r="1016" spans="1:23" s="38" customFormat="1" ht="62.25" customHeight="1" thickBot="1" x14ac:dyDescent="0.25">
      <c r="A1016" s="86">
        <v>1047</v>
      </c>
      <c r="B1016" s="87">
        <v>31001</v>
      </c>
      <c r="C1016" s="63" t="s">
        <v>86</v>
      </c>
      <c r="D1016" s="64">
        <f t="shared" ref="D1016" si="490">SUM(E1016:H1016)</f>
        <v>3000</v>
      </c>
      <c r="E1016" s="65"/>
      <c r="F1016" s="65"/>
      <c r="G1016" s="65"/>
      <c r="H1016" s="66">
        <v>3000</v>
      </c>
      <c r="I1016" s="64">
        <f t="shared" ref="I1016" si="491">SUM(J1016:M1016)</f>
        <v>3000</v>
      </c>
      <c r="J1016" s="65"/>
      <c r="K1016" s="65"/>
      <c r="L1016" s="65"/>
      <c r="M1016" s="66">
        <v>3000</v>
      </c>
      <c r="N1016" s="64">
        <f>SUM(O1016:R1016)</f>
        <v>2999.92</v>
      </c>
      <c r="O1016" s="65"/>
      <c r="P1016" s="65"/>
      <c r="Q1016" s="65"/>
      <c r="R1016" s="66">
        <v>2999.92</v>
      </c>
      <c r="S1016" s="94">
        <f t="shared" si="462"/>
        <v>0.99997333333333338</v>
      </c>
      <c r="T1016" s="95" t="str">
        <f t="shared" si="463"/>
        <v xml:space="preserve"> </v>
      </c>
      <c r="U1016" s="95" t="str">
        <f t="shared" si="464"/>
        <v xml:space="preserve"> </v>
      </c>
      <c r="V1016" s="95" t="str">
        <f t="shared" si="465"/>
        <v xml:space="preserve"> </v>
      </c>
      <c r="W1016" s="95">
        <f t="shared" si="465"/>
        <v>0.99997333333333338</v>
      </c>
    </row>
    <row r="1017" spans="1:23" ht="16.5" x14ac:dyDescent="0.2">
      <c r="A1017" s="88"/>
      <c r="B1017" s="88"/>
      <c r="C1017" s="67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7"/>
      <c r="T1017" s="67"/>
      <c r="U1017" s="67"/>
      <c r="V1017" s="67"/>
    </row>
    <row r="1018" spans="1:23" ht="16.5" x14ac:dyDescent="0.2">
      <c r="A1018" s="88"/>
      <c r="B1018" s="88"/>
      <c r="C1018" s="67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7"/>
      <c r="T1018" s="67"/>
      <c r="U1018" s="67"/>
      <c r="V1018" s="67"/>
    </row>
    <row r="1019" spans="1:23" ht="16.5" x14ac:dyDescent="0.2">
      <c r="A1019" s="88"/>
      <c r="B1019" s="88"/>
      <c r="C1019" s="67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7"/>
      <c r="T1019" s="67"/>
      <c r="U1019" s="67"/>
      <c r="V1019" s="67"/>
    </row>
    <row r="1020" spans="1:23" ht="26.25" customHeight="1" x14ac:dyDescent="0.2">
      <c r="A1020" s="107" t="s">
        <v>828</v>
      </c>
      <c r="B1020" s="107"/>
      <c r="C1020" s="107"/>
      <c r="D1020" s="107"/>
      <c r="E1020" s="107"/>
      <c r="F1020" s="107"/>
      <c r="G1020" s="107"/>
      <c r="H1020" s="107"/>
      <c r="I1020" s="107"/>
      <c r="J1020" s="93"/>
      <c r="K1020" s="69"/>
      <c r="L1020" s="69"/>
      <c r="M1020" s="69"/>
      <c r="N1020" s="69"/>
      <c r="O1020" s="69"/>
      <c r="P1020" s="69"/>
      <c r="Q1020" s="69"/>
      <c r="R1020" s="69"/>
    </row>
    <row r="1021" spans="1:23" ht="19.5" customHeight="1" x14ac:dyDescent="0.2">
      <c r="A1021" s="108" t="s">
        <v>827</v>
      </c>
      <c r="B1021" s="108"/>
      <c r="C1021" s="108"/>
      <c r="D1021" s="108"/>
      <c r="E1021" s="108"/>
      <c r="F1021" s="108"/>
      <c r="G1021" s="108"/>
      <c r="H1021" s="69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</row>
    <row r="1022" spans="1:23" x14ac:dyDescent="0.2">
      <c r="A1022" s="71"/>
      <c r="B1022" s="71"/>
      <c r="D1022" s="69"/>
      <c r="E1022" s="69"/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</row>
    <row r="1023" spans="1:23" x14ac:dyDescent="0.2">
      <c r="A1023" s="71"/>
      <c r="B1023" s="71"/>
      <c r="D1023" s="69"/>
      <c r="E1023" s="69"/>
      <c r="F1023" s="69"/>
      <c r="G1023" s="69"/>
      <c r="H1023" s="69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</row>
    <row r="1024" spans="1:23" x14ac:dyDescent="0.2">
      <c r="A1024" s="71"/>
      <c r="B1024" s="71"/>
      <c r="D1024" s="69"/>
      <c r="E1024" s="69"/>
      <c r="F1024" s="69"/>
      <c r="G1024" s="69"/>
      <c r="H1024" s="69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</row>
    <row r="1025" spans="1:18" x14ac:dyDescent="0.2">
      <c r="A1025" s="71"/>
      <c r="B1025" s="71"/>
      <c r="D1025" s="69"/>
      <c r="E1025" s="69"/>
      <c r="F1025" s="69"/>
      <c r="G1025" s="69"/>
      <c r="H1025" s="69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</row>
    <row r="1026" spans="1:18" x14ac:dyDescent="0.2">
      <c r="A1026" s="71"/>
      <c r="B1026" s="71"/>
      <c r="D1026" s="69"/>
      <c r="E1026" s="69"/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</row>
    <row r="1027" spans="1:18" x14ac:dyDescent="0.2">
      <c r="A1027" s="71"/>
      <c r="B1027" s="71"/>
      <c r="D1027" s="69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</row>
    <row r="1028" spans="1:18" x14ac:dyDescent="0.2">
      <c r="A1028" s="71"/>
      <c r="B1028" s="71"/>
      <c r="D1028" s="69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</row>
    <row r="1029" spans="1:18" x14ac:dyDescent="0.2">
      <c r="A1029" s="71"/>
      <c r="B1029" s="71"/>
      <c r="D1029" s="69"/>
      <c r="E1029" s="69"/>
      <c r="F1029" s="69"/>
      <c r="G1029" s="69"/>
      <c r="H1029" s="69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</row>
    <row r="1030" spans="1:18" x14ac:dyDescent="0.2">
      <c r="A1030" s="71"/>
      <c r="B1030" s="71"/>
      <c r="D1030" s="69"/>
      <c r="E1030" s="69"/>
      <c r="F1030" s="69"/>
      <c r="G1030" s="69"/>
      <c r="H1030" s="69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</row>
    <row r="1031" spans="1:18" x14ac:dyDescent="0.2">
      <c r="A1031" s="71"/>
      <c r="B1031" s="71"/>
      <c r="D1031" s="69"/>
      <c r="E1031" s="69"/>
      <c r="F1031" s="69"/>
      <c r="G1031" s="69"/>
      <c r="H1031" s="69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</row>
    <row r="1032" spans="1:18" x14ac:dyDescent="0.2">
      <c r="A1032" s="71"/>
      <c r="B1032" s="71"/>
      <c r="D1032" s="69"/>
      <c r="E1032" s="69"/>
      <c r="F1032" s="69"/>
      <c r="G1032" s="69"/>
      <c r="H1032" s="69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</row>
    <row r="1033" spans="1:18" x14ac:dyDescent="0.2">
      <c r="A1033" s="71"/>
      <c r="B1033" s="71"/>
      <c r="D1033" s="69"/>
      <c r="E1033" s="69"/>
      <c r="F1033" s="69"/>
      <c r="G1033" s="69"/>
      <c r="H1033" s="69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</row>
    <row r="1034" spans="1:18" x14ac:dyDescent="0.2">
      <c r="A1034" s="71"/>
      <c r="B1034" s="71"/>
      <c r="D1034" s="69"/>
      <c r="E1034" s="69"/>
      <c r="F1034" s="69"/>
      <c r="G1034" s="69"/>
      <c r="H1034" s="69"/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</row>
    <row r="1035" spans="1:18" x14ac:dyDescent="0.2">
      <c r="A1035" s="71"/>
      <c r="B1035" s="71"/>
      <c r="D1035" s="69"/>
      <c r="E1035" s="69"/>
      <c r="F1035" s="69"/>
      <c r="G1035" s="69"/>
      <c r="H1035" s="69"/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</row>
    <row r="1036" spans="1:18" x14ac:dyDescent="0.2">
      <c r="A1036" s="71"/>
      <c r="B1036" s="71"/>
      <c r="D1036" s="69"/>
      <c r="E1036" s="69"/>
      <c r="F1036" s="69"/>
      <c r="G1036" s="69"/>
      <c r="H1036" s="69"/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</row>
    <row r="1037" spans="1:18" x14ac:dyDescent="0.2">
      <c r="A1037" s="71"/>
      <c r="B1037" s="71"/>
      <c r="D1037" s="69"/>
      <c r="E1037" s="69"/>
      <c r="F1037" s="69"/>
      <c r="G1037" s="69"/>
      <c r="H1037" s="69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</row>
    <row r="1038" spans="1:18" x14ac:dyDescent="0.2">
      <c r="A1038" s="71"/>
      <c r="B1038" s="71"/>
      <c r="D1038" s="69"/>
      <c r="E1038" s="69"/>
      <c r="F1038" s="69"/>
      <c r="G1038" s="69"/>
      <c r="H1038" s="69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</row>
    <row r="1039" spans="1:18" x14ac:dyDescent="0.2">
      <c r="A1039" s="71"/>
      <c r="B1039" s="71"/>
      <c r="D1039" s="69"/>
      <c r="E1039" s="69"/>
      <c r="F1039" s="69"/>
      <c r="G1039" s="69"/>
      <c r="H1039" s="69"/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</row>
    <row r="1040" spans="1:18" x14ac:dyDescent="0.2">
      <c r="A1040" s="71"/>
      <c r="B1040" s="71"/>
      <c r="D1040" s="69"/>
      <c r="E1040" s="69"/>
      <c r="F1040" s="69"/>
      <c r="G1040" s="69"/>
      <c r="H1040" s="69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</row>
    <row r="1041" spans="1:18" x14ac:dyDescent="0.2">
      <c r="A1041" s="71"/>
      <c r="B1041" s="71"/>
      <c r="D1041" s="69"/>
      <c r="E1041" s="69"/>
      <c r="F1041" s="69"/>
      <c r="G1041" s="69"/>
      <c r="H1041" s="69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</row>
    <row r="1042" spans="1:18" x14ac:dyDescent="0.2">
      <c r="A1042" s="71"/>
      <c r="B1042" s="71"/>
      <c r="D1042" s="69"/>
      <c r="E1042" s="69"/>
      <c r="F1042" s="69"/>
      <c r="G1042" s="69"/>
      <c r="H1042" s="69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</row>
    <row r="1043" spans="1:18" x14ac:dyDescent="0.2">
      <c r="A1043" s="71"/>
      <c r="B1043" s="71"/>
      <c r="D1043" s="69"/>
      <c r="E1043" s="69"/>
      <c r="F1043" s="69"/>
      <c r="G1043" s="69"/>
      <c r="H1043" s="69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</row>
    <row r="1044" spans="1:18" x14ac:dyDescent="0.2">
      <c r="A1044" s="71"/>
      <c r="B1044" s="71"/>
      <c r="D1044" s="69"/>
      <c r="E1044" s="69"/>
      <c r="F1044" s="69"/>
      <c r="G1044" s="69"/>
      <c r="H1044" s="69"/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</row>
    <row r="1045" spans="1:18" x14ac:dyDescent="0.2">
      <c r="D1045" s="69"/>
      <c r="E1045" s="69"/>
      <c r="F1045" s="69"/>
      <c r="G1045" s="69"/>
      <c r="H1045" s="69"/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</row>
    <row r="1046" spans="1:18" x14ac:dyDescent="0.2">
      <c r="D1046" s="69"/>
      <c r="E1046" s="69"/>
      <c r="F1046" s="69"/>
      <c r="G1046" s="69"/>
      <c r="H1046" s="69"/>
      <c r="I1046" s="69"/>
      <c r="J1046" s="69"/>
      <c r="K1046" s="69"/>
      <c r="L1046" s="69"/>
      <c r="M1046" s="69"/>
      <c r="N1046" s="69"/>
      <c r="O1046" s="69"/>
      <c r="P1046" s="69"/>
      <c r="Q1046" s="69"/>
      <c r="R1046" s="69"/>
    </row>
    <row r="1047" spans="1:18" x14ac:dyDescent="0.2">
      <c r="D1047" s="69"/>
      <c r="E1047" s="69"/>
      <c r="F1047" s="69"/>
      <c r="G1047" s="69"/>
      <c r="H1047" s="69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</row>
    <row r="1048" spans="1:18" x14ac:dyDescent="0.2">
      <c r="D1048" s="69"/>
      <c r="E1048" s="69"/>
      <c r="F1048" s="69"/>
      <c r="G1048" s="69"/>
      <c r="H1048" s="69"/>
      <c r="I1048" s="69"/>
      <c r="J1048" s="69"/>
      <c r="K1048" s="69"/>
      <c r="L1048" s="69"/>
      <c r="M1048" s="69"/>
      <c r="N1048" s="69"/>
      <c r="O1048" s="69"/>
      <c r="P1048" s="69"/>
      <c r="Q1048" s="69"/>
      <c r="R1048" s="69"/>
    </row>
    <row r="1049" spans="1:18" x14ac:dyDescent="0.2">
      <c r="D1049" s="69"/>
      <c r="E1049" s="69"/>
      <c r="F1049" s="69"/>
      <c r="G1049" s="69"/>
      <c r="H1049" s="69"/>
      <c r="I1049" s="69"/>
      <c r="J1049" s="69"/>
      <c r="K1049" s="69"/>
      <c r="L1049" s="69"/>
      <c r="M1049" s="69"/>
      <c r="N1049" s="69"/>
      <c r="O1049" s="69"/>
      <c r="P1049" s="69"/>
      <c r="Q1049" s="69"/>
      <c r="R1049" s="69"/>
    </row>
    <row r="1050" spans="1:18" x14ac:dyDescent="0.2">
      <c r="D1050" s="69"/>
      <c r="E1050" s="69"/>
      <c r="F1050" s="69"/>
      <c r="G1050" s="69"/>
      <c r="H1050" s="69"/>
      <c r="I1050" s="69"/>
      <c r="J1050" s="69"/>
      <c r="K1050" s="69"/>
      <c r="L1050" s="69"/>
      <c r="M1050" s="69"/>
      <c r="N1050" s="69"/>
      <c r="O1050" s="69"/>
      <c r="P1050" s="69"/>
      <c r="Q1050" s="69"/>
      <c r="R1050" s="69"/>
    </row>
    <row r="1051" spans="1:18" hidden="1" x14ac:dyDescent="0.2"/>
    <row r="1052" spans="1:18" hidden="1" x14ac:dyDescent="0.2"/>
    <row r="1053" spans="1:18" hidden="1" x14ac:dyDescent="0.2"/>
    <row r="1054" spans="1:18" hidden="1" x14ac:dyDescent="0.2"/>
    <row r="1055" spans="1:18" hidden="1" x14ac:dyDescent="0.2"/>
    <row r="1056" spans="1:18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</sheetData>
  <customSheetViews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4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5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7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8"/>
      <headerFooter>
        <oddFooter>&amp;C&amp;P</oddFooter>
      </headerFooter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16">
    <mergeCell ref="S7:W7"/>
    <mergeCell ref="T8:W8"/>
    <mergeCell ref="A1020:I1020"/>
    <mergeCell ref="A1021:G1021"/>
    <mergeCell ref="S8:S9"/>
    <mergeCell ref="I8:I9"/>
    <mergeCell ref="J8:M8"/>
    <mergeCell ref="N8:N9"/>
    <mergeCell ref="O8:R8"/>
    <mergeCell ref="A7:B8"/>
    <mergeCell ref="C7:C9"/>
    <mergeCell ref="D7:H7"/>
    <mergeCell ref="I7:M7"/>
    <mergeCell ref="N7:R7"/>
    <mergeCell ref="D8:D9"/>
    <mergeCell ref="E8:H8"/>
  </mergeCells>
  <pageMargins left="0.2" right="0.17" top="0.28999999999999998" bottom="0.36" header="0.17" footer="0.17"/>
  <pageSetup paperSize="9" scale="43" firstPageNumber="464" orientation="landscape" useFirstPageNumber="1" horizontalDpi="96" verticalDpi="96" r:id="rId13"/>
  <headerFooter>
    <oddFooter>&amp;L&amp;"GHEA Grapalat,Regular"Հայաստանի Հանրապետության ֆինանսների նախարարություն&amp;R&amp;"GHEA Grapalat,Regular"&amp;F&amp;P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Emma Ghaytanjyan</cp:lastModifiedBy>
  <cp:lastPrinted>2023-04-19T11:23:25Z</cp:lastPrinted>
  <dcterms:created xsi:type="dcterms:W3CDTF">2019-07-04T05:37:23Z</dcterms:created>
  <dcterms:modified xsi:type="dcterms:W3CDTF">2023-04-19T14:17:21Z</dcterms:modified>
</cp:coreProperties>
</file>