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3081BA90-E9D5-45CE-A125-4C96D6F6F65C}" xr6:coauthVersionLast="40" xr6:coauthVersionMax="40" xr10:uidLastSave="{00000000-0000-0000-0000-000000000000}"/>
  <bookViews>
    <workbookView xWindow="-120" yWindow="-120" windowWidth="29040" windowHeight="15840" tabRatio="880" xr2:uid="{00000000-000D-0000-FFFF-FFFF00000000}"/>
  </bookViews>
  <sheets>
    <sheet name="Summary" sheetId="38" r:id="rId1"/>
    <sheet name="1n" sheetId="20" r:id="rId2"/>
    <sheet name="2n" sheetId="36" r:id="rId3"/>
    <sheet name="3n" sheetId="40" r:id="rId4"/>
    <sheet name="4n" sheetId="46" r:id="rId5"/>
    <sheet name="5n" sheetId="6" r:id="rId6"/>
    <sheet name="7n" sheetId="8" r:id="rId7"/>
    <sheet name="8n" sheetId="45" r:id="rId8"/>
    <sheet name="9n" sheetId="10" r:id="rId9"/>
    <sheet name="11n" sheetId="11" r:id="rId10"/>
    <sheet name="12n" sheetId="13" r:id="rId11"/>
    <sheet name="16n" sheetId="47" r:id="rId12"/>
    <sheet name="17n" sheetId="41" r:id="rId13"/>
    <sheet name="19n" sheetId="42" r:id="rId14"/>
    <sheet name="20n" sheetId="14" r:id="rId15"/>
    <sheet name="21n" sheetId="15" r:id="rId16"/>
    <sheet name="22n" sheetId="16" r:id="rId17"/>
    <sheet name="24n" sheetId="39" r:id="rId18"/>
    <sheet name="26n" sheetId="21" r:id="rId19"/>
    <sheet name="27n" sheetId="24" r:id="rId20"/>
    <sheet name="28n" sheetId="25" r:id="rId21"/>
    <sheet name="29n" sheetId="26" r:id="rId22"/>
    <sheet name="30n" sheetId="27" r:id="rId23"/>
    <sheet name="34n" sheetId="30" r:id="rId24"/>
    <sheet name="36n" sheetId="28" r:id="rId25"/>
    <sheet name="37n" sheetId="29" r:id="rId26"/>
    <sheet name="42n" sheetId="18" r:id="rId27"/>
    <sheet name="43n" sheetId="19" r:id="rId28"/>
    <sheet name="44n" sheetId="31" r:id="rId29"/>
    <sheet name="45n" sheetId="32" r:id="rId30"/>
    <sheet name="46n" sheetId="33" r:id="rId31"/>
    <sheet name="47n" sheetId="34" r:id="rId32"/>
    <sheet name="48n" sheetId="35" r:id="rId33"/>
    <sheet name="Rates and GI" sheetId="4" r:id="rId34"/>
    <sheet name="Soft" sheetId="22" r:id="rId35"/>
    <sheet name="Trips" sheetId="3" r:id="rId36"/>
    <sheet name="Training" sheetId="7" r:id="rId37"/>
    <sheet name="New building" sheetId="37" r:id="rId38"/>
  </sheets>
  <definedNames>
    <definedName name="eur">'Rates and GI'!$D$7</definedName>
    <definedName name="index">'Rates and GI'!$E$8</definedName>
    <definedName name="_xlnm.Print_Area" localSheetId="1">'1n'!$A$1:$H$226</definedName>
    <definedName name="_xlnm.Print_Area" localSheetId="3">'3n'!$A$1:$H$219</definedName>
    <definedName name="_xlnm.Print_Area" localSheetId="4">'4n'!$A$1:$H$173</definedName>
    <definedName name="_xlnm.Print_Area" localSheetId="6">'7n'!$A$1:$H$130</definedName>
    <definedName name="_xlnm.Print_Area" localSheetId="37">'New building'!$A$1:$B$8</definedName>
    <definedName name="_xlnm.Print_Area" localSheetId="34">Soft!$A$1:$E$16</definedName>
    <definedName name="_xlnm.Print_Titles" localSheetId="0">Summary!$4:$5</definedName>
    <definedName name="start">'Rates and GI'!$B$2</definedName>
    <definedName name="usd">'Rates and GI'!$D$6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36" l="1"/>
  <c r="F20" i="46" l="1"/>
  <c r="G20" i="46"/>
  <c r="H20" i="46"/>
  <c r="E20" i="46"/>
  <c r="D31" i="46"/>
  <c r="D36" i="36"/>
  <c r="D32" i="20"/>
  <c r="D20" i="46" l="1"/>
  <c r="E10" i="6"/>
  <c r="G88" i="6"/>
  <c r="H88" i="6"/>
  <c r="F88" i="6"/>
  <c r="G162" i="46"/>
  <c r="H142" i="46"/>
  <c r="F119" i="46"/>
  <c r="E119" i="46"/>
  <c r="G208" i="40"/>
  <c r="H208" i="40" s="1"/>
  <c r="G158" i="40"/>
  <c r="H158" i="40" s="1"/>
  <c r="G231" i="36"/>
  <c r="H231" i="36" s="1"/>
  <c r="G229" i="36"/>
  <c r="H229" i="36" s="1"/>
  <c r="G227" i="36"/>
  <c r="H227" i="36" s="1"/>
  <c r="G164" i="36"/>
  <c r="F164" i="36"/>
  <c r="F131" i="36"/>
  <c r="E131" i="36"/>
  <c r="G72" i="27"/>
  <c r="F72" i="27"/>
  <c r="G68" i="27"/>
  <c r="F171" i="26"/>
  <c r="G171" i="26"/>
  <c r="F151" i="26"/>
  <c r="G151" i="26"/>
  <c r="G72" i="39"/>
  <c r="F72" i="39"/>
  <c r="G68" i="39"/>
  <c r="F68" i="39"/>
  <c r="G131" i="15"/>
  <c r="H64" i="15"/>
  <c r="G64" i="15"/>
  <c r="F64" i="15"/>
  <c r="E183" i="36" l="1"/>
  <c r="F183" i="36" s="1"/>
  <c r="F69" i="41"/>
  <c r="F73" i="41"/>
  <c r="F133" i="11"/>
  <c r="F131" i="11"/>
  <c r="G146" i="45"/>
  <c r="G72" i="45"/>
  <c r="F72" i="45"/>
  <c r="G68" i="45"/>
  <c r="F68" i="45"/>
  <c r="G64" i="8"/>
  <c r="F64" i="8"/>
  <c r="H105" i="32" l="1"/>
  <c r="G105" i="32"/>
  <c r="F105" i="32"/>
  <c r="H147" i="18"/>
  <c r="G147" i="18"/>
  <c r="F147" i="18"/>
  <c r="E157" i="20" l="1"/>
  <c r="B12" i="37"/>
  <c r="G143" i="20" l="1"/>
  <c r="H143" i="20"/>
  <c r="G174" i="36"/>
  <c r="H174" i="36"/>
  <c r="F231" i="36"/>
  <c r="F229" i="36"/>
  <c r="F227" i="36"/>
  <c r="F204" i="36"/>
  <c r="G204" i="36"/>
  <c r="H204" i="36"/>
  <c r="E204" i="36"/>
  <c r="H202" i="36"/>
  <c r="G202" i="36"/>
  <c r="F202" i="36"/>
  <c r="E202" i="36"/>
  <c r="H200" i="36"/>
  <c r="G200" i="36"/>
  <c r="F200" i="36"/>
  <c r="E200" i="36"/>
  <c r="H38" i="40"/>
  <c r="F156" i="40"/>
  <c r="G156" i="40" s="1"/>
  <c r="H156" i="40" s="1"/>
  <c r="F85" i="40"/>
  <c r="G85" i="40"/>
  <c r="H85" i="40"/>
  <c r="E85" i="40"/>
  <c r="F35" i="46"/>
  <c r="G35" i="46"/>
  <c r="H35" i="46"/>
  <c r="F141" i="46"/>
  <c r="G141" i="46"/>
  <c r="H141" i="46"/>
  <c r="E141" i="46"/>
  <c r="E199" i="36" l="1"/>
  <c r="G199" i="36"/>
  <c r="F199" i="36"/>
  <c r="H199" i="36"/>
  <c r="B20" i="38" l="1"/>
  <c r="A20" i="38"/>
  <c r="A19" i="38"/>
  <c r="H170" i="47"/>
  <c r="G170" i="47"/>
  <c r="F170" i="47"/>
  <c r="F169" i="47"/>
  <c r="H168" i="47"/>
  <c r="G168" i="47"/>
  <c r="E168" i="47"/>
  <c r="H164" i="47"/>
  <c r="H163" i="47" s="1"/>
  <c r="G164" i="47"/>
  <c r="G163" i="47" s="1"/>
  <c r="F164" i="47"/>
  <c r="F163" i="47" s="1"/>
  <c r="E163" i="47"/>
  <c r="H161" i="47"/>
  <c r="G161" i="47"/>
  <c r="F161" i="47"/>
  <c r="E161" i="47"/>
  <c r="H159" i="47"/>
  <c r="G159" i="47"/>
  <c r="F159" i="47"/>
  <c r="E159" i="47"/>
  <c r="H157" i="47"/>
  <c r="H155" i="47" s="1"/>
  <c r="H154" i="47" s="1"/>
  <c r="G157" i="47"/>
  <c r="G155" i="47" s="1"/>
  <c r="G154" i="47" s="1"/>
  <c r="F157" i="47"/>
  <c r="F155" i="47" s="1"/>
  <c r="F154" i="47" s="1"/>
  <c r="E157" i="47"/>
  <c r="E155" i="47"/>
  <c r="E151" i="47"/>
  <c r="G149" i="47"/>
  <c r="F149" i="47"/>
  <c r="E148" i="47"/>
  <c r="H145" i="47"/>
  <c r="G145" i="47"/>
  <c r="F145" i="47"/>
  <c r="E145" i="47"/>
  <c r="H143" i="47"/>
  <c r="G143" i="47"/>
  <c r="F143" i="47"/>
  <c r="E143" i="47"/>
  <c r="H141" i="47"/>
  <c r="G141" i="47"/>
  <c r="G137" i="47" s="1"/>
  <c r="G47" i="47" s="1"/>
  <c r="F141" i="47"/>
  <c r="F137" i="47" s="1"/>
  <c r="F47" i="47" s="1"/>
  <c r="E141" i="47"/>
  <c r="H139" i="47"/>
  <c r="H137" i="47" s="1"/>
  <c r="H47" i="47" s="1"/>
  <c r="G139" i="47"/>
  <c r="F139" i="47"/>
  <c r="E139" i="47"/>
  <c r="H134" i="47"/>
  <c r="H132" i="47" s="1"/>
  <c r="H128" i="47" s="1"/>
  <c r="H26" i="47" s="1"/>
  <c r="G134" i="47"/>
  <c r="G132" i="47" s="1"/>
  <c r="G128" i="47" s="1"/>
  <c r="G26" i="47" s="1"/>
  <c r="F134" i="47"/>
  <c r="E134" i="47"/>
  <c r="E132" i="47" s="1"/>
  <c r="E128" i="47" s="1"/>
  <c r="E26" i="47" s="1"/>
  <c r="F133" i="47"/>
  <c r="H122" i="47"/>
  <c r="G122" i="47"/>
  <c r="F122" i="47"/>
  <c r="F117" i="47" s="1"/>
  <c r="E122" i="47"/>
  <c r="E117" i="47" s="1"/>
  <c r="E32" i="47" s="1"/>
  <c r="E109" i="47"/>
  <c r="F109" i="47" s="1"/>
  <c r="G109" i="47" s="1"/>
  <c r="H104" i="47"/>
  <c r="G104" i="47"/>
  <c r="F104" i="47"/>
  <c r="E104" i="47"/>
  <c r="E103" i="47" s="1"/>
  <c r="E99" i="47" s="1"/>
  <c r="E20" i="47" s="1"/>
  <c r="E22" i="47" s="1"/>
  <c r="H101" i="47"/>
  <c r="G101" i="47"/>
  <c r="F101" i="47"/>
  <c r="E57" i="47"/>
  <c r="E54" i="47"/>
  <c r="F54" i="47" s="1"/>
  <c r="G54" i="47" s="1"/>
  <c r="H54" i="47" s="1"/>
  <c r="D42" i="47"/>
  <c r="D41" i="47"/>
  <c r="H40" i="47"/>
  <c r="H43" i="47" s="1"/>
  <c r="G40" i="47"/>
  <c r="G43" i="47" s="1"/>
  <c r="F40" i="47"/>
  <c r="F43" i="47" s="1"/>
  <c r="E40" i="47"/>
  <c r="E43" i="47" s="1"/>
  <c r="D39" i="47"/>
  <c r="D38" i="47"/>
  <c r="H35" i="47"/>
  <c r="G35" i="47"/>
  <c r="F35" i="47"/>
  <c r="D34" i="47"/>
  <c r="D33" i="47"/>
  <c r="D31" i="47"/>
  <c r="D21" i="47"/>
  <c r="D11" i="47"/>
  <c r="E3" i="47"/>
  <c r="F3" i="47" s="1"/>
  <c r="G3" i="47" s="1"/>
  <c r="H3" i="47" s="1"/>
  <c r="E154" i="47" l="1"/>
  <c r="E137" i="47"/>
  <c r="E47" i="47" s="1"/>
  <c r="E107" i="47"/>
  <c r="E25" i="47" s="1"/>
  <c r="E28" i="47" s="1"/>
  <c r="F168" i="47"/>
  <c r="F132" i="47"/>
  <c r="F128" i="47" s="1"/>
  <c r="F26" i="47" s="1"/>
  <c r="E147" i="47"/>
  <c r="E46" i="47" s="1"/>
  <c r="E48" i="47" s="1"/>
  <c r="H109" i="47"/>
  <c r="H107" i="47" s="1"/>
  <c r="H25" i="47" s="1"/>
  <c r="H28" i="47" s="1"/>
  <c r="G107" i="47"/>
  <c r="G25" i="47" s="1"/>
  <c r="G28" i="47" s="1"/>
  <c r="D26" i="47"/>
  <c r="E35" i="47"/>
  <c r="D32" i="47"/>
  <c r="D35" i="47" s="1"/>
  <c r="D47" i="47"/>
  <c r="F107" i="47"/>
  <c r="F25" i="47" s="1"/>
  <c r="D40" i="47"/>
  <c r="D43" i="47" s="1"/>
  <c r="F135" i="32"/>
  <c r="F133" i="32"/>
  <c r="F133" i="31"/>
  <c r="F28" i="47" l="1"/>
  <c r="D25" i="47"/>
  <c r="D28" i="47" s="1"/>
  <c r="E59" i="46" l="1"/>
  <c r="F59" i="46" s="1"/>
  <c r="G59" i="46" s="1"/>
  <c r="H59" i="46" s="1"/>
  <c r="E62" i="40"/>
  <c r="F62" i="40" s="1"/>
  <c r="G62" i="40" s="1"/>
  <c r="H62" i="40" s="1"/>
  <c r="E64" i="36"/>
  <c r="F64" i="36" s="1"/>
  <c r="G64" i="36" s="1"/>
  <c r="H64" i="36" s="1"/>
  <c r="E60" i="20"/>
  <c r="F60" i="20" s="1"/>
  <c r="G60" i="20" s="1"/>
  <c r="H60" i="20" s="1"/>
  <c r="E3" i="46"/>
  <c r="F3" i="46" s="1"/>
  <c r="G3" i="46" s="1"/>
  <c r="H3" i="46" s="1"/>
  <c r="E3" i="40"/>
  <c r="F3" i="40" s="1"/>
  <c r="G3" i="40" s="1"/>
  <c r="H3" i="40" s="1"/>
  <c r="E3" i="36"/>
  <c r="F3" i="36" s="1"/>
  <c r="G3" i="36" s="1"/>
  <c r="H3" i="36" s="1"/>
  <c r="E3" i="20"/>
  <c r="F3" i="20" s="1"/>
  <c r="G3" i="20" s="1"/>
  <c r="H3" i="20" s="1"/>
  <c r="E3" i="34"/>
  <c r="F3" i="34" s="1"/>
  <c r="G3" i="34" s="1"/>
  <c r="H3" i="34" s="1"/>
  <c r="E3" i="33"/>
  <c r="F3" i="33" s="1"/>
  <c r="G3" i="33" s="1"/>
  <c r="H3" i="33" s="1"/>
  <c r="E3" i="32"/>
  <c r="F3" i="32" s="1"/>
  <c r="G3" i="32" s="1"/>
  <c r="H3" i="32" s="1"/>
  <c r="E3" i="31"/>
  <c r="F3" i="31" s="1"/>
  <c r="G3" i="31" s="1"/>
  <c r="H3" i="31" s="1"/>
  <c r="E3" i="19"/>
  <c r="F3" i="19" s="1"/>
  <c r="G3" i="19" s="1"/>
  <c r="H3" i="19" s="1"/>
  <c r="E3" i="18"/>
  <c r="F3" i="18" s="1"/>
  <c r="G3" i="18" s="1"/>
  <c r="H3" i="18" s="1"/>
  <c r="E3" i="29"/>
  <c r="F3" i="29" s="1"/>
  <c r="G3" i="29" s="1"/>
  <c r="H3" i="29" s="1"/>
  <c r="E3" i="28"/>
  <c r="F3" i="28" s="1"/>
  <c r="G3" i="28" s="1"/>
  <c r="H3" i="28" s="1"/>
  <c r="E3" i="30"/>
  <c r="F3" i="30" s="1"/>
  <c r="G3" i="30" s="1"/>
  <c r="H3" i="30" s="1"/>
  <c r="E3" i="27"/>
  <c r="F3" i="27" s="1"/>
  <c r="G3" i="27" s="1"/>
  <c r="H3" i="27" s="1"/>
  <c r="E3" i="26"/>
  <c r="F3" i="26" s="1"/>
  <c r="G3" i="26" s="1"/>
  <c r="H3" i="26" s="1"/>
  <c r="E3" i="25"/>
  <c r="F3" i="25" s="1"/>
  <c r="G3" i="25" s="1"/>
  <c r="H3" i="25" s="1"/>
  <c r="E3" i="21"/>
  <c r="F3" i="21" s="1"/>
  <c r="G3" i="21" s="1"/>
  <c r="H3" i="21" s="1"/>
  <c r="E3" i="24"/>
  <c r="F3" i="24" s="1"/>
  <c r="G3" i="24" s="1"/>
  <c r="H3" i="24" s="1"/>
  <c r="E3" i="39"/>
  <c r="F3" i="39" s="1"/>
  <c r="G3" i="39" s="1"/>
  <c r="H3" i="39" s="1"/>
  <c r="E3" i="16"/>
  <c r="F3" i="16" s="1"/>
  <c r="G3" i="16" s="1"/>
  <c r="H3" i="16" s="1"/>
  <c r="E3" i="15"/>
  <c r="F3" i="15" s="1"/>
  <c r="G3" i="15" s="1"/>
  <c r="H3" i="15" s="1"/>
  <c r="E3" i="14"/>
  <c r="F3" i="14" s="1"/>
  <c r="G3" i="14" s="1"/>
  <c r="H3" i="14" s="1"/>
  <c r="E3" i="42"/>
  <c r="F3" i="42" s="1"/>
  <c r="G3" i="42" s="1"/>
  <c r="H3" i="42" s="1"/>
  <c r="E3" i="41"/>
  <c r="F3" i="41" s="1"/>
  <c r="G3" i="41" s="1"/>
  <c r="H3" i="41" s="1"/>
  <c r="E3" i="13"/>
  <c r="F3" i="13" s="1"/>
  <c r="G3" i="13" s="1"/>
  <c r="H3" i="13" s="1"/>
  <c r="E3" i="11"/>
  <c r="F3" i="11" s="1"/>
  <c r="G3" i="11" s="1"/>
  <c r="H3" i="11" s="1"/>
  <c r="E3" i="10"/>
  <c r="F3" i="10" s="1"/>
  <c r="G3" i="10" s="1"/>
  <c r="H3" i="10" s="1"/>
  <c r="E3" i="45"/>
  <c r="F3" i="45" s="1"/>
  <c r="G3" i="45" s="1"/>
  <c r="H3" i="45" s="1"/>
  <c r="E3" i="8"/>
  <c r="F3" i="8" s="1"/>
  <c r="G3" i="8" s="1"/>
  <c r="H3" i="8" s="1"/>
  <c r="E54" i="35"/>
  <c r="F54" i="35" s="1"/>
  <c r="G54" i="35" s="1"/>
  <c r="H54" i="35" s="1"/>
  <c r="E54" i="34"/>
  <c r="F54" i="34" s="1"/>
  <c r="G54" i="34" s="1"/>
  <c r="H54" i="34" s="1"/>
  <c r="E54" i="33"/>
  <c r="F54" i="33" s="1"/>
  <c r="G54" i="33" s="1"/>
  <c r="H54" i="33" s="1"/>
  <c r="E54" i="32"/>
  <c r="F54" i="32" s="1"/>
  <c r="G54" i="32" s="1"/>
  <c r="H54" i="32" s="1"/>
  <c r="E54" i="31"/>
  <c r="F54" i="31" s="1"/>
  <c r="G54" i="31" s="1"/>
  <c r="H54" i="31" s="1"/>
  <c r="E54" i="19"/>
  <c r="F54" i="19" s="1"/>
  <c r="G54" i="19" s="1"/>
  <c r="H54" i="19" s="1"/>
  <c r="E54" i="18"/>
  <c r="F54" i="18" s="1"/>
  <c r="G54" i="18" s="1"/>
  <c r="H54" i="18" s="1"/>
  <c r="E58" i="29"/>
  <c r="F58" i="29" s="1"/>
  <c r="G58" i="29" s="1"/>
  <c r="H58" i="29" s="1"/>
  <c r="E58" i="28"/>
  <c r="F58" i="28" s="1"/>
  <c r="G58" i="28" s="1"/>
  <c r="H58" i="28" s="1"/>
  <c r="E54" i="30"/>
  <c r="F54" i="30" s="1"/>
  <c r="G54" i="30" s="1"/>
  <c r="H54" i="30" s="1"/>
  <c r="E58" i="27"/>
  <c r="F58" i="27" s="1"/>
  <c r="G58" i="27" s="1"/>
  <c r="H58" i="27" s="1"/>
  <c r="E58" i="26"/>
  <c r="F58" i="26" s="1"/>
  <c r="G58" i="26" s="1"/>
  <c r="H58" i="26" s="1"/>
  <c r="E58" i="25"/>
  <c r="F58" i="25" s="1"/>
  <c r="G58" i="25" s="1"/>
  <c r="H58" i="25" s="1"/>
  <c r="E58" i="21"/>
  <c r="F58" i="21" s="1"/>
  <c r="G58" i="21" s="1"/>
  <c r="H58" i="21" s="1"/>
  <c r="E58" i="24"/>
  <c r="F58" i="24" s="1"/>
  <c r="G58" i="24" s="1"/>
  <c r="H58" i="24" s="1"/>
  <c r="E58" i="39"/>
  <c r="F58" i="39" s="1"/>
  <c r="G58" i="39" s="1"/>
  <c r="H58" i="39" s="1"/>
  <c r="E54" i="16"/>
  <c r="F54" i="16" s="1"/>
  <c r="G54" i="16" s="1"/>
  <c r="H54" i="16" s="1"/>
  <c r="E54" i="15"/>
  <c r="F54" i="15" s="1"/>
  <c r="G54" i="15" s="1"/>
  <c r="H54" i="15" s="1"/>
  <c r="E54" i="14"/>
  <c r="F54" i="14" s="1"/>
  <c r="G54" i="14" s="1"/>
  <c r="H54" i="14" s="1"/>
  <c r="E58" i="42"/>
  <c r="F58" i="42" s="1"/>
  <c r="G58" i="42" s="1"/>
  <c r="H58" i="42" s="1"/>
  <c r="E58" i="41"/>
  <c r="F58" i="41" s="1"/>
  <c r="G58" i="41" s="1"/>
  <c r="H58" i="41" s="1"/>
  <c r="E54" i="13"/>
  <c r="F54" i="13" s="1"/>
  <c r="G54" i="13" s="1"/>
  <c r="H54" i="13" s="1"/>
  <c r="E54" i="11"/>
  <c r="F54" i="11" s="1"/>
  <c r="G54" i="11" s="1"/>
  <c r="H54" i="11" s="1"/>
  <c r="E54" i="10"/>
  <c r="F54" i="10" s="1"/>
  <c r="G54" i="10" s="1"/>
  <c r="H54" i="10" s="1"/>
  <c r="E58" i="45"/>
  <c r="F58" i="45" s="1"/>
  <c r="G58" i="45" s="1"/>
  <c r="H58" i="45" s="1"/>
  <c r="E54" i="8"/>
  <c r="F54" i="8" s="1"/>
  <c r="G54" i="8" s="1"/>
  <c r="H54" i="8" s="1"/>
  <c r="E54" i="6"/>
  <c r="F54" i="6" s="1"/>
  <c r="G54" i="6" s="1"/>
  <c r="H54" i="6" s="1"/>
  <c r="H46" i="14"/>
  <c r="G46" i="14"/>
  <c r="F46" i="14"/>
  <c r="E46" i="14"/>
  <c r="H46" i="11"/>
  <c r="G46" i="11"/>
  <c r="F46" i="11"/>
  <c r="E46" i="11"/>
  <c r="H46" i="13"/>
  <c r="G46" i="13"/>
  <c r="F46" i="13"/>
  <c r="E46" i="13"/>
  <c r="H46" i="10"/>
  <c r="G46" i="10"/>
  <c r="F46" i="10"/>
  <c r="E46" i="10"/>
  <c r="H47" i="8"/>
  <c r="G47" i="8"/>
  <c r="F47" i="8"/>
  <c r="E47" i="8"/>
  <c r="H46" i="8"/>
  <c r="H48" i="8" s="1"/>
  <c r="G46" i="8"/>
  <c r="G48" i="8" s="1"/>
  <c r="F46" i="8"/>
  <c r="E46" i="8"/>
  <c r="H47" i="6"/>
  <c r="G47" i="6"/>
  <c r="F47" i="6"/>
  <c r="E47" i="6"/>
  <c r="H46" i="6"/>
  <c r="G46" i="6"/>
  <c r="F46" i="6"/>
  <c r="F48" i="6" s="1"/>
  <c r="E46" i="6"/>
  <c r="F135" i="45"/>
  <c r="D12" i="4"/>
  <c r="E65" i="47" s="1"/>
  <c r="E48" i="8" l="1"/>
  <c r="D47" i="6"/>
  <c r="F65" i="47"/>
  <c r="E63" i="47"/>
  <c r="E5" i="47" s="1"/>
  <c r="D46" i="14"/>
  <c r="D46" i="13"/>
  <c r="D46" i="10"/>
  <c r="D46" i="6"/>
  <c r="D48" i="6" s="1"/>
  <c r="H48" i="6"/>
  <c r="G48" i="6"/>
  <c r="D46" i="11"/>
  <c r="D47" i="8"/>
  <c r="D46" i="8"/>
  <c r="F48" i="8"/>
  <c r="E48" i="6"/>
  <c r="G65" i="47" l="1"/>
  <c r="F63" i="47"/>
  <c r="F5" i="47" s="1"/>
  <c r="D48" i="8"/>
  <c r="B26" i="38"/>
  <c r="A26" i="38"/>
  <c r="B22" i="38"/>
  <c r="A22" i="38"/>
  <c r="B21" i="38"/>
  <c r="A21" i="38"/>
  <c r="B16" i="38"/>
  <c r="A16" i="38"/>
  <c r="B9" i="38"/>
  <c r="B10" i="38"/>
  <c r="A10" i="38"/>
  <c r="A9" i="38"/>
  <c r="A8" i="38"/>
  <c r="H65" i="47" l="1"/>
  <c r="H63" i="47" s="1"/>
  <c r="H5" i="47" s="1"/>
  <c r="G63" i="47"/>
  <c r="G5" i="47" s="1"/>
  <c r="H236" i="46"/>
  <c r="G236" i="46"/>
  <c r="G234" i="46" s="1"/>
  <c r="F236" i="46"/>
  <c r="F235" i="46"/>
  <c r="H234" i="46"/>
  <c r="E234" i="46"/>
  <c r="H230" i="46"/>
  <c r="H229" i="46" s="1"/>
  <c r="G230" i="46"/>
  <c r="G229" i="46" s="1"/>
  <c r="F230" i="46"/>
  <c r="F229" i="46" s="1"/>
  <c r="E229" i="46"/>
  <c r="H227" i="46"/>
  <c r="G227" i="46"/>
  <c r="F227" i="46"/>
  <c r="E227" i="46"/>
  <c r="H225" i="46"/>
  <c r="G225" i="46"/>
  <c r="F225" i="46"/>
  <c r="E225" i="46"/>
  <c r="H223" i="46"/>
  <c r="H221" i="46" s="1"/>
  <c r="H220" i="46" s="1"/>
  <c r="G223" i="46"/>
  <c r="G221" i="46" s="1"/>
  <c r="G220" i="46" s="1"/>
  <c r="F223" i="46"/>
  <c r="F221" i="46" s="1"/>
  <c r="F220" i="46" s="1"/>
  <c r="E223" i="46"/>
  <c r="E221" i="46" s="1"/>
  <c r="E220" i="46" s="1"/>
  <c r="E217" i="46"/>
  <c r="G216" i="46"/>
  <c r="F216" i="46"/>
  <c r="G215" i="46"/>
  <c r="F215" i="46"/>
  <c r="E214" i="46"/>
  <c r="H211" i="46"/>
  <c r="G211" i="46"/>
  <c r="F211" i="46"/>
  <c r="E211" i="46"/>
  <c r="H209" i="46"/>
  <c r="G209" i="46"/>
  <c r="F209" i="46"/>
  <c r="E209" i="46"/>
  <c r="H207" i="46"/>
  <c r="G207" i="46"/>
  <c r="F207" i="46"/>
  <c r="E207" i="46"/>
  <c r="H205" i="46"/>
  <c r="H203" i="46" s="1"/>
  <c r="H52" i="46" s="1"/>
  <c r="G205" i="46"/>
  <c r="G203" i="46" s="1"/>
  <c r="G52" i="46" s="1"/>
  <c r="F205" i="46"/>
  <c r="E205" i="46"/>
  <c r="H201" i="46"/>
  <c r="G201" i="46"/>
  <c r="G199" i="46" s="1"/>
  <c r="G47" i="46" s="1"/>
  <c r="F201" i="46"/>
  <c r="F199" i="46" s="1"/>
  <c r="F47" i="46" s="1"/>
  <c r="E201" i="46"/>
  <c r="E199" i="46" s="1"/>
  <c r="E47" i="46" s="1"/>
  <c r="H199" i="46"/>
  <c r="H47" i="46" s="1"/>
  <c r="E197" i="46"/>
  <c r="E46" i="46" s="1"/>
  <c r="E196" i="46"/>
  <c r="E45" i="46" s="1"/>
  <c r="E195" i="46"/>
  <c r="E44" i="46" s="1"/>
  <c r="H187" i="46"/>
  <c r="H185" i="46" s="1"/>
  <c r="H30" i="46" s="1"/>
  <c r="G187" i="46"/>
  <c r="G185" i="46" s="1"/>
  <c r="G30" i="46" s="1"/>
  <c r="F187" i="46"/>
  <c r="E187" i="46"/>
  <c r="E185" i="46" s="1"/>
  <c r="E30" i="46" s="1"/>
  <c r="F186" i="46"/>
  <c r="H177" i="46"/>
  <c r="G177" i="46"/>
  <c r="F177" i="46"/>
  <c r="E177" i="46"/>
  <c r="H176" i="46"/>
  <c r="H175" i="46" s="1"/>
  <c r="H38" i="46" s="1"/>
  <c r="G176" i="46"/>
  <c r="G175" i="46" s="1"/>
  <c r="G38" i="46" s="1"/>
  <c r="F176" i="46"/>
  <c r="F175" i="46" s="1"/>
  <c r="F38" i="46" s="1"/>
  <c r="E176" i="46"/>
  <c r="E175" i="46" s="1"/>
  <c r="E38" i="46" s="1"/>
  <c r="E173" i="46"/>
  <c r="H172" i="46"/>
  <c r="G172" i="46"/>
  <c r="F172" i="46"/>
  <c r="E172" i="46"/>
  <c r="E171" i="46" s="1"/>
  <c r="E37" i="46" s="1"/>
  <c r="H164" i="46"/>
  <c r="G164" i="46"/>
  <c r="F164" i="46"/>
  <c r="E164" i="46"/>
  <c r="E162" i="46"/>
  <c r="H161" i="46"/>
  <c r="G161" i="46"/>
  <c r="F161" i="46"/>
  <c r="E161" i="46"/>
  <c r="H158" i="46"/>
  <c r="G158" i="46"/>
  <c r="F158" i="46"/>
  <c r="E158" i="46"/>
  <c r="E157" i="46" s="1"/>
  <c r="E147" i="46"/>
  <c r="F147" i="46" s="1"/>
  <c r="E136" i="46"/>
  <c r="E24" i="46" s="1"/>
  <c r="H119" i="46"/>
  <c r="H78" i="46"/>
  <c r="H81" i="46" s="1"/>
  <c r="H80" i="46" s="1"/>
  <c r="G78" i="46"/>
  <c r="G81" i="46" s="1"/>
  <c r="G80" i="46" s="1"/>
  <c r="F78" i="46"/>
  <c r="F81" i="46" s="1"/>
  <c r="F80" i="46" s="1"/>
  <c r="E78" i="46"/>
  <c r="E65" i="46"/>
  <c r="H64" i="46"/>
  <c r="G64" i="46"/>
  <c r="F64" i="46"/>
  <c r="D39" i="46"/>
  <c r="D25" i="46"/>
  <c r="F105" i="19"/>
  <c r="G105" i="19"/>
  <c r="H105" i="19"/>
  <c r="H101" i="19"/>
  <c r="G101" i="19"/>
  <c r="F101" i="19"/>
  <c r="C50" i="7"/>
  <c r="F136" i="45"/>
  <c r="F134" i="45" s="1"/>
  <c r="F26" i="45" s="1"/>
  <c r="G136" i="45"/>
  <c r="G134" i="45" s="1"/>
  <c r="G26" i="45" s="1"/>
  <c r="H136" i="45"/>
  <c r="H134" i="45" s="1"/>
  <c r="H26" i="45" s="1"/>
  <c r="E136" i="45"/>
  <c r="E134" i="45" s="1"/>
  <c r="E26" i="45" s="1"/>
  <c r="E177" i="45"/>
  <c r="F177" i="45" s="1"/>
  <c r="G177" i="45" s="1"/>
  <c r="H177" i="45" s="1"/>
  <c r="C176" i="45"/>
  <c r="H172" i="45"/>
  <c r="H170" i="45" s="1"/>
  <c r="G172" i="45"/>
  <c r="G170" i="45" s="1"/>
  <c r="F172" i="45"/>
  <c r="F171" i="45"/>
  <c r="E170" i="45"/>
  <c r="H166" i="45"/>
  <c r="H165" i="45" s="1"/>
  <c r="G166" i="45"/>
  <c r="G165" i="45" s="1"/>
  <c r="F166" i="45"/>
  <c r="F165" i="45" s="1"/>
  <c r="E165" i="45"/>
  <c r="H163" i="45"/>
  <c r="H161" i="45" s="1"/>
  <c r="G163" i="45"/>
  <c r="G161" i="45" s="1"/>
  <c r="F163" i="45"/>
  <c r="F161" i="45" s="1"/>
  <c r="E163" i="45"/>
  <c r="E161" i="45" s="1"/>
  <c r="H159" i="45"/>
  <c r="G159" i="45"/>
  <c r="F159" i="45"/>
  <c r="F157" i="45" s="1"/>
  <c r="E159" i="45"/>
  <c r="E157" i="45" s="1"/>
  <c r="H157" i="45"/>
  <c r="G157" i="45"/>
  <c r="E153" i="45"/>
  <c r="G152" i="45"/>
  <c r="F152" i="45"/>
  <c r="G151" i="45"/>
  <c r="F151" i="45"/>
  <c r="E150" i="45"/>
  <c r="H147" i="45"/>
  <c r="G147" i="45"/>
  <c r="F147" i="45"/>
  <c r="E147" i="45"/>
  <c r="H145" i="45"/>
  <c r="G145" i="45"/>
  <c r="F145" i="45"/>
  <c r="E145" i="45"/>
  <c r="H143" i="45"/>
  <c r="G143" i="45"/>
  <c r="F143" i="45"/>
  <c r="E143" i="45"/>
  <c r="H141" i="45"/>
  <c r="G141" i="45"/>
  <c r="F141" i="45"/>
  <c r="E141" i="45"/>
  <c r="E111" i="45"/>
  <c r="E109" i="45" s="1"/>
  <c r="E25" i="45" s="1"/>
  <c r="E103" i="45"/>
  <c r="E20" i="45" s="1"/>
  <c r="E64" i="45"/>
  <c r="H63" i="45"/>
  <c r="G63" i="45"/>
  <c r="F63" i="45"/>
  <c r="H43" i="45"/>
  <c r="G43" i="45"/>
  <c r="F43" i="45"/>
  <c r="E43" i="45"/>
  <c r="D42" i="45"/>
  <c r="D41" i="45"/>
  <c r="D40" i="45"/>
  <c r="D39" i="45"/>
  <c r="D38" i="45"/>
  <c r="H35" i="45"/>
  <c r="G35" i="45"/>
  <c r="F35" i="45"/>
  <c r="E35" i="45"/>
  <c r="D34" i="45"/>
  <c r="D33" i="45"/>
  <c r="D32" i="45"/>
  <c r="D31" i="45"/>
  <c r="D21" i="45"/>
  <c r="C177" i="42"/>
  <c r="H173" i="42"/>
  <c r="H171" i="42" s="1"/>
  <c r="G173" i="42"/>
  <c r="G171" i="42" s="1"/>
  <c r="F173" i="42"/>
  <c r="F172" i="42"/>
  <c r="E171" i="42"/>
  <c r="H167" i="42"/>
  <c r="H166" i="42" s="1"/>
  <c r="G167" i="42"/>
  <c r="G166" i="42" s="1"/>
  <c r="F167" i="42"/>
  <c r="F166" i="42" s="1"/>
  <c r="E166" i="42"/>
  <c r="H164" i="42"/>
  <c r="G164" i="42"/>
  <c r="F164" i="42"/>
  <c r="F162" i="42" s="1"/>
  <c r="E164" i="42"/>
  <c r="E162" i="42" s="1"/>
  <c r="H162" i="42"/>
  <c r="G162" i="42"/>
  <c r="H160" i="42"/>
  <c r="G160" i="42"/>
  <c r="F160" i="42"/>
  <c r="E160" i="42"/>
  <c r="E158" i="42" s="1"/>
  <c r="H158" i="42"/>
  <c r="G158" i="42"/>
  <c r="F158" i="42"/>
  <c r="E154" i="42"/>
  <c r="G153" i="42"/>
  <c r="F153" i="42"/>
  <c r="G152" i="42"/>
  <c r="F152" i="42"/>
  <c r="E151" i="42"/>
  <c r="H148" i="42"/>
  <c r="G148" i="42"/>
  <c r="F148" i="42"/>
  <c r="E148" i="42"/>
  <c r="H146" i="42"/>
  <c r="G146" i="42"/>
  <c r="F146" i="42"/>
  <c r="E146" i="42"/>
  <c r="H144" i="42"/>
  <c r="G144" i="42"/>
  <c r="F144" i="42"/>
  <c r="E144" i="42"/>
  <c r="H142" i="42"/>
  <c r="G142" i="42"/>
  <c r="F142" i="42"/>
  <c r="E142" i="42"/>
  <c r="H137" i="42"/>
  <c r="H135" i="42" s="1"/>
  <c r="H26" i="42" s="1"/>
  <c r="G137" i="42"/>
  <c r="G135" i="42" s="1"/>
  <c r="G26" i="42" s="1"/>
  <c r="F137" i="42"/>
  <c r="E137" i="42"/>
  <c r="E135" i="42" s="1"/>
  <c r="E26" i="42" s="1"/>
  <c r="F136" i="42"/>
  <c r="E112" i="42"/>
  <c r="F112" i="42" s="1"/>
  <c r="G112" i="42" s="1"/>
  <c r="E104" i="42"/>
  <c r="E20" i="42" s="1"/>
  <c r="E65" i="42"/>
  <c r="F65" i="42" s="1"/>
  <c r="G65" i="42" s="1"/>
  <c r="H64" i="42"/>
  <c r="G64" i="42"/>
  <c r="F64" i="42"/>
  <c r="E62" i="42"/>
  <c r="H43" i="42"/>
  <c r="G43" i="42"/>
  <c r="F43" i="42"/>
  <c r="E43" i="42"/>
  <c r="D42" i="42"/>
  <c r="D41" i="42"/>
  <c r="D40" i="42"/>
  <c r="D39" i="42"/>
  <c r="D38" i="42"/>
  <c r="H35" i="42"/>
  <c r="G35" i="42"/>
  <c r="F35" i="42"/>
  <c r="E35" i="42"/>
  <c r="D34" i="42"/>
  <c r="D33" i="42"/>
  <c r="D32" i="42"/>
  <c r="D31" i="42"/>
  <c r="D21" i="42"/>
  <c r="C11" i="22"/>
  <c r="C177" i="41"/>
  <c r="H173" i="41"/>
  <c r="G173" i="41"/>
  <c r="F173" i="41"/>
  <c r="F172" i="41"/>
  <c r="H171" i="41"/>
  <c r="G171" i="41"/>
  <c r="E171" i="41"/>
  <c r="H167" i="41"/>
  <c r="H166" i="41" s="1"/>
  <c r="G167" i="41"/>
  <c r="G166" i="41" s="1"/>
  <c r="F167" i="41"/>
  <c r="F166" i="41" s="1"/>
  <c r="E166" i="41"/>
  <c r="H164" i="41"/>
  <c r="G164" i="41"/>
  <c r="G162" i="41" s="1"/>
  <c r="F164" i="41"/>
  <c r="F162" i="41" s="1"/>
  <c r="E164" i="41"/>
  <c r="E162" i="41" s="1"/>
  <c r="H162" i="41"/>
  <c r="H160" i="41"/>
  <c r="G160" i="41"/>
  <c r="F160" i="41"/>
  <c r="F158" i="41" s="1"/>
  <c r="E160" i="41"/>
  <c r="E158" i="41" s="1"/>
  <c r="H158" i="41"/>
  <c r="G158" i="41"/>
  <c r="E154" i="41"/>
  <c r="G153" i="41"/>
  <c r="F153" i="41"/>
  <c r="G152" i="41"/>
  <c r="F152" i="41"/>
  <c r="E151" i="41"/>
  <c r="H148" i="41"/>
  <c r="G148" i="41"/>
  <c r="F148" i="41"/>
  <c r="E148" i="41"/>
  <c r="H146" i="41"/>
  <c r="G146" i="41"/>
  <c r="F146" i="41"/>
  <c r="E146" i="41"/>
  <c r="H144" i="41"/>
  <c r="G144" i="41"/>
  <c r="F144" i="41"/>
  <c r="E144" i="41"/>
  <c r="H142" i="41"/>
  <c r="G142" i="41"/>
  <c r="G140" i="41" s="1"/>
  <c r="G51" i="41" s="1"/>
  <c r="F142" i="41"/>
  <c r="F140" i="41" s="1"/>
  <c r="F51" i="41" s="1"/>
  <c r="E142" i="41"/>
  <c r="E140" i="41" s="1"/>
  <c r="E51" i="41" s="1"/>
  <c r="H137" i="41"/>
  <c r="H135" i="41" s="1"/>
  <c r="H26" i="41" s="1"/>
  <c r="G137" i="41"/>
  <c r="G135" i="41" s="1"/>
  <c r="G26" i="41" s="1"/>
  <c r="F137" i="41"/>
  <c r="E137" i="41"/>
  <c r="E135" i="41" s="1"/>
  <c r="E26" i="41" s="1"/>
  <c r="F136" i="41"/>
  <c r="E112" i="41"/>
  <c r="F112" i="41" s="1"/>
  <c r="E104" i="41"/>
  <c r="E20" i="41" s="1"/>
  <c r="E22" i="41" s="1"/>
  <c r="E65" i="41"/>
  <c r="F65" i="41" s="1"/>
  <c r="H64" i="41"/>
  <c r="G64" i="41"/>
  <c r="F64" i="41"/>
  <c r="E62" i="41"/>
  <c r="H43" i="41"/>
  <c r="G43" i="41"/>
  <c r="F43" i="41"/>
  <c r="E43" i="41"/>
  <c r="D42" i="41"/>
  <c r="D41" i="41"/>
  <c r="D40" i="41"/>
  <c r="D39" i="41"/>
  <c r="D38" i="41"/>
  <c r="H35" i="41"/>
  <c r="G35" i="41"/>
  <c r="F35" i="41"/>
  <c r="E35" i="41"/>
  <c r="D34" i="41"/>
  <c r="D33" i="41"/>
  <c r="D32" i="41"/>
  <c r="D31" i="41"/>
  <c r="D21" i="41"/>
  <c r="F145" i="40"/>
  <c r="G145" i="40"/>
  <c r="H145" i="40"/>
  <c r="E145" i="40"/>
  <c r="E140" i="40" s="1"/>
  <c r="D47" i="4"/>
  <c r="E194" i="46" s="1"/>
  <c r="E43" i="46" s="1"/>
  <c r="F99" i="40"/>
  <c r="F123" i="40" s="1"/>
  <c r="F163" i="40" s="1"/>
  <c r="G99" i="40"/>
  <c r="E99" i="40"/>
  <c r="E123" i="40" s="1"/>
  <c r="F94" i="40"/>
  <c r="G94" i="40"/>
  <c r="H94" i="40"/>
  <c r="E94" i="40"/>
  <c r="G156" i="45" l="1"/>
  <c r="H156" i="45"/>
  <c r="H140" i="41"/>
  <c r="H51" i="41" s="1"/>
  <c r="E139" i="45"/>
  <c r="E51" i="45" s="1"/>
  <c r="E156" i="45"/>
  <c r="F139" i="45"/>
  <c r="F51" i="45" s="1"/>
  <c r="F156" i="45"/>
  <c r="E140" i="42"/>
  <c r="E51" i="42" s="1"/>
  <c r="G139" i="45"/>
  <c r="G51" i="45" s="1"/>
  <c r="F140" i="42"/>
  <c r="F51" i="42" s="1"/>
  <c r="D51" i="42" s="1"/>
  <c r="G140" i="42"/>
  <c r="G51" i="42" s="1"/>
  <c r="H140" i="42"/>
  <c r="H51" i="42" s="1"/>
  <c r="E160" i="46"/>
  <c r="E203" i="46"/>
  <c r="E52" i="46" s="1"/>
  <c r="D52" i="46" s="1"/>
  <c r="F203" i="46"/>
  <c r="F52" i="46" s="1"/>
  <c r="G157" i="42"/>
  <c r="F157" i="42"/>
  <c r="H157" i="42"/>
  <c r="E157" i="42"/>
  <c r="E150" i="42" s="1"/>
  <c r="E50" i="42" s="1"/>
  <c r="E52" i="42" s="1"/>
  <c r="G157" i="41"/>
  <c r="D5" i="47"/>
  <c r="F157" i="41"/>
  <c r="F170" i="45"/>
  <c r="H146" i="40"/>
  <c r="F234" i="46"/>
  <c r="F116" i="46"/>
  <c r="F114" i="46" s="1"/>
  <c r="F86" i="46"/>
  <c r="F90" i="46"/>
  <c r="G9" i="46"/>
  <c r="G86" i="46"/>
  <c r="G90" i="46"/>
  <c r="H116" i="46"/>
  <c r="H114" i="46" s="1"/>
  <c r="H86" i="46"/>
  <c r="H90" i="46"/>
  <c r="E111" i="46"/>
  <c r="E109" i="46" s="1"/>
  <c r="E86" i="46"/>
  <c r="E90" i="46"/>
  <c r="H111" i="46"/>
  <c r="H109" i="46" s="1"/>
  <c r="G119" i="46"/>
  <c r="H157" i="41"/>
  <c r="E149" i="45"/>
  <c r="E50" i="45" s="1"/>
  <c r="E52" i="45" s="1"/>
  <c r="E116" i="46"/>
  <c r="E114" i="46" s="1"/>
  <c r="D35" i="45"/>
  <c r="G101" i="46"/>
  <c r="G99" i="46" s="1"/>
  <c r="H101" i="46"/>
  <c r="H99" i="46" s="1"/>
  <c r="E81" i="46"/>
  <c r="E80" i="46" s="1"/>
  <c r="E106" i="46"/>
  <c r="E104" i="46" s="1"/>
  <c r="H9" i="46"/>
  <c r="E96" i="46"/>
  <c r="E94" i="46" s="1"/>
  <c r="G111" i="46"/>
  <c r="G109" i="46" s="1"/>
  <c r="D35" i="42"/>
  <c r="D43" i="42"/>
  <c r="D43" i="41"/>
  <c r="F171" i="41"/>
  <c r="H139" i="45"/>
  <c r="H51" i="45" s="1"/>
  <c r="D51" i="45" s="1"/>
  <c r="F135" i="42"/>
  <c r="F26" i="42" s="1"/>
  <c r="D26" i="42" s="1"/>
  <c r="E110" i="42"/>
  <c r="E25" i="42" s="1"/>
  <c r="E28" i="42" s="1"/>
  <c r="E157" i="41"/>
  <c r="E150" i="41" s="1"/>
  <c r="E50" i="41" s="1"/>
  <c r="E52" i="41" s="1"/>
  <c r="F62" i="42"/>
  <c r="F111" i="45"/>
  <c r="G111" i="45" s="1"/>
  <c r="H111" i="45" s="1"/>
  <c r="H109" i="45" s="1"/>
  <c r="H25" i="45" s="1"/>
  <c r="H28" i="45" s="1"/>
  <c r="E156" i="46"/>
  <c r="E36" i="46" s="1"/>
  <c r="F135" i="41"/>
  <c r="F26" i="41" s="1"/>
  <c r="D26" i="41" s="1"/>
  <c r="D38" i="46"/>
  <c r="E213" i="46"/>
  <c r="E51" i="46" s="1"/>
  <c r="F171" i="42"/>
  <c r="E26" i="46"/>
  <c r="D47" i="46"/>
  <c r="G147" i="46"/>
  <c r="F145" i="46"/>
  <c r="F29" i="46" s="1"/>
  <c r="E48" i="46"/>
  <c r="F65" i="46"/>
  <c r="E62" i="46"/>
  <c r="E145" i="46"/>
  <c r="E29" i="46" s="1"/>
  <c r="F173" i="46"/>
  <c r="F171" i="46" s="1"/>
  <c r="F37" i="46" s="1"/>
  <c r="F160" i="46"/>
  <c r="G96" i="46"/>
  <c r="G94" i="46" s="1"/>
  <c r="G106" i="46"/>
  <c r="G104" i="46" s="1"/>
  <c r="G116" i="46"/>
  <c r="G114" i="46" s="1"/>
  <c r="F157" i="46"/>
  <c r="F185" i="46"/>
  <c r="F30" i="46" s="1"/>
  <c r="D30" i="46" s="1"/>
  <c r="H96" i="46"/>
  <c r="H94" i="46" s="1"/>
  <c r="E101" i="46"/>
  <c r="E99" i="46" s="1"/>
  <c r="H106" i="46"/>
  <c r="H104" i="46" s="1"/>
  <c r="E191" i="46"/>
  <c r="E190" i="46" s="1"/>
  <c r="F96" i="46"/>
  <c r="F94" i="46" s="1"/>
  <c r="F101" i="46"/>
  <c r="F99" i="46" s="1"/>
  <c r="F106" i="46"/>
  <c r="F104" i="46" s="1"/>
  <c r="F111" i="46"/>
  <c r="F109" i="46" s="1"/>
  <c r="E28" i="45"/>
  <c r="E22" i="45"/>
  <c r="D26" i="45"/>
  <c r="D43" i="45"/>
  <c r="F64" i="45"/>
  <c r="G64" i="45" s="1"/>
  <c r="E61" i="45"/>
  <c r="F62" i="41"/>
  <c r="G65" i="41"/>
  <c r="H65" i="41" s="1"/>
  <c r="H62" i="41" s="1"/>
  <c r="F110" i="42"/>
  <c r="F25" i="42" s="1"/>
  <c r="H112" i="42"/>
  <c r="H110" i="42" s="1"/>
  <c r="H25" i="42" s="1"/>
  <c r="H28" i="42" s="1"/>
  <c r="G110" i="42"/>
  <c r="G25" i="42" s="1"/>
  <c r="G28" i="42" s="1"/>
  <c r="H65" i="42"/>
  <c r="H62" i="42" s="1"/>
  <c r="G62" i="42"/>
  <c r="E22" i="42"/>
  <c r="D51" i="41"/>
  <c r="G112" i="41"/>
  <c r="F110" i="41"/>
  <c r="F25" i="41" s="1"/>
  <c r="E110" i="41"/>
  <c r="E25" i="41" s="1"/>
  <c r="D35" i="41"/>
  <c r="E53" i="46" l="1"/>
  <c r="F156" i="46"/>
  <c r="F36" i="46" s="1"/>
  <c r="F40" i="46" s="1"/>
  <c r="H84" i="46"/>
  <c r="E84" i="46"/>
  <c r="E10" i="46" s="1"/>
  <c r="F84" i="46"/>
  <c r="E9" i="46"/>
  <c r="G84" i="46"/>
  <c r="H173" i="46"/>
  <c r="H171" i="46" s="1"/>
  <c r="H37" i="46" s="1"/>
  <c r="G157" i="46"/>
  <c r="G109" i="45"/>
  <c r="G25" i="45" s="1"/>
  <c r="G28" i="45" s="1"/>
  <c r="F109" i="45"/>
  <c r="F25" i="45" s="1"/>
  <c r="F28" i="45" s="1"/>
  <c r="F32" i="46"/>
  <c r="G173" i="46"/>
  <c r="G171" i="46" s="1"/>
  <c r="G37" i="46" s="1"/>
  <c r="H162" i="46"/>
  <c r="H160" i="46" s="1"/>
  <c r="F28" i="41"/>
  <c r="G160" i="46"/>
  <c r="F9" i="46"/>
  <c r="E32" i="46"/>
  <c r="F62" i="46"/>
  <c r="G65" i="46"/>
  <c r="H147" i="46"/>
  <c r="H145" i="46" s="1"/>
  <c r="H29" i="46" s="1"/>
  <c r="H32" i="46" s="1"/>
  <c r="G145" i="46"/>
  <c r="G29" i="46" s="1"/>
  <c r="G32" i="46" s="1"/>
  <c r="E35" i="46"/>
  <c r="D25" i="42"/>
  <c r="D28" i="42" s="1"/>
  <c r="F61" i="45"/>
  <c r="G61" i="45"/>
  <c r="H64" i="45"/>
  <c r="H61" i="45" s="1"/>
  <c r="G62" i="41"/>
  <c r="F28" i="42"/>
  <c r="E28" i="41"/>
  <c r="G110" i="41"/>
  <c r="G25" i="41" s="1"/>
  <c r="G28" i="41" s="1"/>
  <c r="H112" i="41"/>
  <c r="H110" i="41" s="1"/>
  <c r="H25" i="41" s="1"/>
  <c r="H28" i="41" s="1"/>
  <c r="H244" i="40"/>
  <c r="G244" i="40"/>
  <c r="G242" i="40" s="1"/>
  <c r="F244" i="40"/>
  <c r="F243" i="40"/>
  <c r="H242" i="40"/>
  <c r="E242" i="40"/>
  <c r="H238" i="40"/>
  <c r="H237" i="40" s="1"/>
  <c r="G238" i="40"/>
  <c r="G237" i="40" s="1"/>
  <c r="F238" i="40"/>
  <c r="F237" i="40" s="1"/>
  <c r="E237" i="40"/>
  <c r="H235" i="40"/>
  <c r="H233" i="40" s="1"/>
  <c r="G235" i="40"/>
  <c r="G233" i="40" s="1"/>
  <c r="F235" i="40"/>
  <c r="F233" i="40" s="1"/>
  <c r="E235" i="40"/>
  <c r="E233" i="40" s="1"/>
  <c r="H231" i="40"/>
  <c r="H229" i="40" s="1"/>
  <c r="G231" i="40"/>
  <c r="G229" i="40" s="1"/>
  <c r="F231" i="40"/>
  <c r="F229" i="40" s="1"/>
  <c r="E231" i="40"/>
  <c r="E229" i="40" s="1"/>
  <c r="E225" i="40"/>
  <c r="G224" i="40"/>
  <c r="F224" i="40"/>
  <c r="G223" i="40"/>
  <c r="F223" i="40"/>
  <c r="E222" i="40"/>
  <c r="H219" i="40"/>
  <c r="G219" i="40"/>
  <c r="F219" i="40"/>
  <c r="E219" i="40"/>
  <c r="H217" i="40"/>
  <c r="G217" i="40"/>
  <c r="F217" i="40"/>
  <c r="E217" i="40"/>
  <c r="H215" i="40"/>
  <c r="G215" i="40"/>
  <c r="F215" i="40"/>
  <c r="E215" i="40"/>
  <c r="H213" i="40"/>
  <c r="G213" i="40"/>
  <c r="G211" i="40" s="1"/>
  <c r="G55" i="40" s="1"/>
  <c r="F213" i="40"/>
  <c r="F211" i="40" s="1"/>
  <c r="F55" i="40" s="1"/>
  <c r="E213" i="40"/>
  <c r="H209" i="40"/>
  <c r="H207" i="40" s="1"/>
  <c r="H50" i="40" s="1"/>
  <c r="G209" i="40"/>
  <c r="G207" i="40" s="1"/>
  <c r="G50" i="40" s="1"/>
  <c r="F209" i="40"/>
  <c r="F207" i="40" s="1"/>
  <c r="F50" i="40" s="1"/>
  <c r="E207" i="40"/>
  <c r="E50" i="40" s="1"/>
  <c r="H195" i="40"/>
  <c r="H193" i="40" s="1"/>
  <c r="H33" i="40" s="1"/>
  <c r="G195" i="40"/>
  <c r="G193" i="40" s="1"/>
  <c r="G33" i="40" s="1"/>
  <c r="F195" i="40"/>
  <c r="E195" i="40"/>
  <c r="E193" i="40" s="1"/>
  <c r="E33" i="40" s="1"/>
  <c r="F194" i="40"/>
  <c r="H182" i="40"/>
  <c r="G182" i="40"/>
  <c r="F182" i="40"/>
  <c r="E182" i="40"/>
  <c r="H180" i="40"/>
  <c r="G180" i="40"/>
  <c r="F180" i="40"/>
  <c r="E180" i="40"/>
  <c r="H176" i="40"/>
  <c r="G176" i="40"/>
  <c r="F176" i="40"/>
  <c r="E176" i="40"/>
  <c r="H168" i="40"/>
  <c r="G168" i="40"/>
  <c r="F168" i="40"/>
  <c r="E168" i="40"/>
  <c r="H165" i="40"/>
  <c r="G165" i="40"/>
  <c r="F165" i="40"/>
  <c r="E165" i="40"/>
  <c r="H162" i="40"/>
  <c r="G162" i="40"/>
  <c r="F162" i="40"/>
  <c r="F161" i="40" s="1"/>
  <c r="E162" i="40"/>
  <c r="E151" i="40"/>
  <c r="F151" i="40" s="1"/>
  <c r="G151" i="40" s="1"/>
  <c r="H81" i="40"/>
  <c r="H115" i="40" s="1"/>
  <c r="H113" i="40" s="1"/>
  <c r="H12" i="40" s="1"/>
  <c r="G81" i="40"/>
  <c r="G115" i="40" s="1"/>
  <c r="G113" i="40" s="1"/>
  <c r="G12" i="40" s="1"/>
  <c r="F81" i="40"/>
  <c r="F115" i="40" s="1"/>
  <c r="F113" i="40" s="1"/>
  <c r="F12" i="40" s="1"/>
  <c r="E81" i="40"/>
  <c r="E115" i="40" s="1"/>
  <c r="E113" i="40" s="1"/>
  <c r="E12" i="40" s="1"/>
  <c r="E68" i="40"/>
  <c r="F68" i="40" s="1"/>
  <c r="G68" i="40" s="1"/>
  <c r="H67" i="40"/>
  <c r="G67" i="40"/>
  <c r="F67" i="40"/>
  <c r="E65" i="40"/>
  <c r="D42" i="40"/>
  <c r="D28" i="40"/>
  <c r="F15" i="36"/>
  <c r="G15" i="36"/>
  <c r="E15" i="36"/>
  <c r="E167" i="20"/>
  <c r="E166" i="20" s="1"/>
  <c r="E39" i="20" s="1"/>
  <c r="H157" i="20"/>
  <c r="G157" i="20"/>
  <c r="F157" i="20"/>
  <c r="E188" i="36"/>
  <c r="H164" i="36"/>
  <c r="F165" i="36"/>
  <c r="G165" i="36"/>
  <c r="H165" i="36"/>
  <c r="E165" i="36"/>
  <c r="G163" i="36"/>
  <c r="H163" i="36"/>
  <c r="F163" i="36"/>
  <c r="E163" i="36"/>
  <c r="E162" i="36" s="1"/>
  <c r="F93" i="36"/>
  <c r="F10" i="36" s="1"/>
  <c r="H211" i="40" l="1"/>
  <c r="H55" i="40" s="1"/>
  <c r="G179" i="40"/>
  <c r="G41" i="40" s="1"/>
  <c r="H179" i="40"/>
  <c r="H41" i="40" s="1"/>
  <c r="E211" i="40"/>
  <c r="E55" i="40" s="1"/>
  <c r="E8" i="46"/>
  <c r="G156" i="46"/>
  <c r="E76" i="46"/>
  <c r="D12" i="40"/>
  <c r="G76" i="46"/>
  <c r="G10" i="46"/>
  <c r="G8" i="46" s="1"/>
  <c r="F76" i="46"/>
  <c r="F10" i="46"/>
  <c r="F8" i="46" s="1"/>
  <c r="H10" i="46"/>
  <c r="H8" i="46" s="1"/>
  <c r="H76" i="46"/>
  <c r="E179" i="40"/>
  <c r="E41" i="40" s="1"/>
  <c r="F179" i="40"/>
  <c r="F41" i="40" s="1"/>
  <c r="D9" i="46"/>
  <c r="H157" i="46"/>
  <c r="H156" i="46" s="1"/>
  <c r="D25" i="45"/>
  <c r="D28" i="45" s="1"/>
  <c r="D37" i="46"/>
  <c r="D29" i="46"/>
  <c r="D32" i="46" s="1"/>
  <c r="F192" i="46"/>
  <c r="H192" i="46"/>
  <c r="G192" i="46"/>
  <c r="D35" i="46"/>
  <c r="E40" i="46"/>
  <c r="H65" i="46"/>
  <c r="H62" i="46" s="1"/>
  <c r="G62" i="46"/>
  <c r="D25" i="41"/>
  <c r="D28" i="41" s="1"/>
  <c r="G123" i="40"/>
  <c r="G163" i="40" s="1"/>
  <c r="G166" i="40" s="1"/>
  <c r="H123" i="40"/>
  <c r="F193" i="40"/>
  <c r="F33" i="40" s="1"/>
  <c r="D33" i="40" s="1"/>
  <c r="E228" i="40"/>
  <c r="E221" i="40" s="1"/>
  <c r="E54" i="40" s="1"/>
  <c r="E56" i="40" s="1"/>
  <c r="H110" i="40"/>
  <c r="H108" i="40" s="1"/>
  <c r="H93" i="40"/>
  <c r="H89" i="40"/>
  <c r="E110" i="40"/>
  <c r="E108" i="40" s="1"/>
  <c r="E93" i="40"/>
  <c r="E89" i="40"/>
  <c r="F120" i="40"/>
  <c r="F118" i="40" s="1"/>
  <c r="F13" i="40" s="1"/>
  <c r="F93" i="40"/>
  <c r="F89" i="40"/>
  <c r="G120" i="40"/>
  <c r="G118" i="40" s="1"/>
  <c r="G13" i="40" s="1"/>
  <c r="G93" i="40"/>
  <c r="G89" i="40"/>
  <c r="G228" i="40"/>
  <c r="E27" i="40"/>
  <c r="E29" i="40" s="1"/>
  <c r="F228" i="40"/>
  <c r="H228" i="40"/>
  <c r="D50" i="40"/>
  <c r="F149" i="40"/>
  <c r="F32" i="40" s="1"/>
  <c r="G65" i="40"/>
  <c r="F65" i="40"/>
  <c r="F242" i="40"/>
  <c r="E84" i="40"/>
  <c r="E83" i="40" s="1"/>
  <c r="E9" i="40" s="1"/>
  <c r="E105" i="40"/>
  <c r="E103" i="40" s="1"/>
  <c r="F84" i="40"/>
  <c r="F83" i="40" s="1"/>
  <c r="F9" i="40" s="1"/>
  <c r="F105" i="40"/>
  <c r="F103" i="40" s="1"/>
  <c r="E120" i="40"/>
  <c r="E118" i="40" s="1"/>
  <c r="E13" i="40" s="1"/>
  <c r="E100" i="40"/>
  <c r="E98" i="40" s="1"/>
  <c r="F110" i="40"/>
  <c r="F108" i="40" s="1"/>
  <c r="H151" i="40"/>
  <c r="H149" i="40" s="1"/>
  <c r="H32" i="40" s="1"/>
  <c r="H35" i="40" s="1"/>
  <c r="G149" i="40"/>
  <c r="G32" i="40" s="1"/>
  <c r="G35" i="40" s="1"/>
  <c r="H100" i="40"/>
  <c r="H98" i="40" s="1"/>
  <c r="D55" i="40"/>
  <c r="H105" i="40"/>
  <c r="H103" i="40" s="1"/>
  <c r="H84" i="40"/>
  <c r="H83" i="40" s="1"/>
  <c r="H9" i="40" s="1"/>
  <c r="H120" i="40"/>
  <c r="H68" i="40"/>
  <c r="H65" i="40" s="1"/>
  <c r="F100" i="40"/>
  <c r="F98" i="40" s="1"/>
  <c r="E149" i="40"/>
  <c r="E32" i="40" s="1"/>
  <c r="G84" i="40"/>
  <c r="G83" i="40" s="1"/>
  <c r="G9" i="40" s="1"/>
  <c r="G100" i="40"/>
  <c r="G98" i="40" s="1"/>
  <c r="G105" i="40"/>
  <c r="G103" i="40" s="1"/>
  <c r="G110" i="40"/>
  <c r="G108" i="40" s="1"/>
  <c r="E43" i="36"/>
  <c r="G43" i="36"/>
  <c r="H43" i="36"/>
  <c r="F43" i="36"/>
  <c r="F166" i="20"/>
  <c r="F39" i="20" s="1"/>
  <c r="E158" i="36"/>
  <c r="E182" i="39"/>
  <c r="F182" i="39" s="1"/>
  <c r="G182" i="39" s="1"/>
  <c r="H182" i="39" s="1"/>
  <c r="C181" i="39"/>
  <c r="G40" i="39"/>
  <c r="G43" i="39" s="1"/>
  <c r="F40" i="39"/>
  <c r="F43" i="39" s="1"/>
  <c r="E40" i="39"/>
  <c r="H174" i="39"/>
  <c r="H172" i="39" s="1"/>
  <c r="G174" i="39"/>
  <c r="G172" i="39" s="1"/>
  <c r="F174" i="39"/>
  <c r="F173" i="39"/>
  <c r="E172" i="39"/>
  <c r="H168" i="39"/>
  <c r="H167" i="39" s="1"/>
  <c r="G168" i="39"/>
  <c r="G167" i="39" s="1"/>
  <c r="F168" i="39"/>
  <c r="F167" i="39" s="1"/>
  <c r="E167" i="39"/>
  <c r="H165" i="39"/>
  <c r="G165" i="39"/>
  <c r="G163" i="39" s="1"/>
  <c r="F165" i="39"/>
  <c r="F163" i="39" s="1"/>
  <c r="E165" i="39"/>
  <c r="E163" i="39" s="1"/>
  <c r="H163" i="39"/>
  <c r="H161" i="39"/>
  <c r="G161" i="39"/>
  <c r="F161" i="39"/>
  <c r="F159" i="39" s="1"/>
  <c r="E161" i="39"/>
  <c r="E159" i="39" s="1"/>
  <c r="H159" i="39"/>
  <c r="G159" i="39"/>
  <c r="E155" i="39"/>
  <c r="G154" i="39"/>
  <c r="F154" i="39"/>
  <c r="G153" i="39"/>
  <c r="F153" i="39"/>
  <c r="E152" i="39"/>
  <c r="H149" i="39"/>
  <c r="G149" i="39"/>
  <c r="F149" i="39"/>
  <c r="E149" i="39"/>
  <c r="H147" i="39"/>
  <c r="G147" i="39"/>
  <c r="F147" i="39"/>
  <c r="E147" i="39"/>
  <c r="H145" i="39"/>
  <c r="G145" i="39"/>
  <c r="F145" i="39"/>
  <c r="E145" i="39"/>
  <c r="H143" i="39"/>
  <c r="G143" i="39"/>
  <c r="F143" i="39"/>
  <c r="F141" i="39" s="1"/>
  <c r="F51" i="39" s="1"/>
  <c r="E143" i="39"/>
  <c r="E141" i="39" s="1"/>
  <c r="E51" i="39" s="1"/>
  <c r="H141" i="39"/>
  <c r="H51" i="39" s="1"/>
  <c r="G141" i="39"/>
  <c r="G51" i="39" s="1"/>
  <c r="H138" i="39"/>
  <c r="H136" i="39" s="1"/>
  <c r="H26" i="39" s="1"/>
  <c r="G138" i="39"/>
  <c r="G136" i="39" s="1"/>
  <c r="G26" i="39" s="1"/>
  <c r="F138" i="39"/>
  <c r="E138" i="39"/>
  <c r="E136" i="39" s="1"/>
  <c r="E26" i="39" s="1"/>
  <c r="F137" i="39"/>
  <c r="E126" i="39"/>
  <c r="E121" i="39" s="1"/>
  <c r="E32" i="39" s="1"/>
  <c r="D32" i="39" s="1"/>
  <c r="E113" i="39"/>
  <c r="E111" i="39" s="1"/>
  <c r="E25" i="39" s="1"/>
  <c r="H108" i="39"/>
  <c r="G108" i="39"/>
  <c r="F108" i="39"/>
  <c r="E108" i="39"/>
  <c r="E107" i="39" s="1"/>
  <c r="E103" i="39" s="1"/>
  <c r="E20" i="39" s="1"/>
  <c r="E22" i="39" s="1"/>
  <c r="H105" i="39"/>
  <c r="G105" i="39"/>
  <c r="E61" i="39"/>
  <c r="D42" i="39"/>
  <c r="D41" i="39"/>
  <c r="H40" i="39"/>
  <c r="H43" i="39" s="1"/>
  <c r="D39" i="39"/>
  <c r="D38" i="39"/>
  <c r="H35" i="39"/>
  <c r="G35" i="39"/>
  <c r="F35" i="39"/>
  <c r="D34" i="39"/>
  <c r="D33" i="39"/>
  <c r="D31" i="39"/>
  <c r="D21" i="39"/>
  <c r="B17" i="38"/>
  <c r="B18" i="38"/>
  <c r="B19" i="38"/>
  <c r="B23" i="38"/>
  <c r="B24" i="38"/>
  <c r="B25" i="38"/>
  <c r="B27" i="38"/>
  <c r="B28" i="38"/>
  <c r="B29" i="38"/>
  <c r="B30" i="38"/>
  <c r="B31" i="38"/>
  <c r="B35" i="38"/>
  <c r="B36" i="38"/>
  <c r="B37" i="38"/>
  <c r="B41" i="38"/>
  <c r="B42" i="38"/>
  <c r="B43" i="38"/>
  <c r="B44" i="38"/>
  <c r="B45" i="38"/>
  <c r="B46" i="38"/>
  <c r="B50" i="38"/>
  <c r="A50" i="38"/>
  <c r="A46" i="38"/>
  <c r="A45" i="38"/>
  <c r="A44" i="38"/>
  <c r="A43" i="38"/>
  <c r="A42" i="38"/>
  <c r="A41" i="38"/>
  <c r="A37" i="38"/>
  <c r="A36" i="38"/>
  <c r="A35" i="38"/>
  <c r="A31" i="38"/>
  <c r="A30" i="38"/>
  <c r="A29" i="38"/>
  <c r="A28" i="38"/>
  <c r="A27" i="38"/>
  <c r="A25" i="38"/>
  <c r="A24" i="38"/>
  <c r="A23" i="38"/>
  <c r="A18" i="38"/>
  <c r="A17" i="38"/>
  <c r="A15" i="38"/>
  <c r="B11" i="38"/>
  <c r="B15" i="38"/>
  <c r="A11" i="38"/>
  <c r="B8" i="38"/>
  <c r="B7" i="38"/>
  <c r="A7" i="38"/>
  <c r="D5" i="38"/>
  <c r="E5" i="38" s="1"/>
  <c r="F5" i="38" s="1"/>
  <c r="G5" i="38" s="1"/>
  <c r="G118" i="36"/>
  <c r="H118" i="36"/>
  <c r="G113" i="36"/>
  <c r="H113" i="36"/>
  <c r="H131" i="36" s="1"/>
  <c r="G103" i="20"/>
  <c r="H103" i="20"/>
  <c r="F103" i="20"/>
  <c r="E103" i="20"/>
  <c r="G98" i="20"/>
  <c r="H98" i="20"/>
  <c r="F98" i="20"/>
  <c r="E98" i="20"/>
  <c r="F105" i="36"/>
  <c r="F12" i="36" s="1"/>
  <c r="G105" i="36"/>
  <c r="G12" i="36" s="1"/>
  <c r="H105" i="36"/>
  <c r="H12" i="36" s="1"/>
  <c r="E105" i="36"/>
  <c r="E12" i="36" s="1"/>
  <c r="F100" i="36"/>
  <c r="F11" i="36" s="1"/>
  <c r="G100" i="36"/>
  <c r="G11" i="36" s="1"/>
  <c r="H100" i="36"/>
  <c r="H11" i="36" s="1"/>
  <c r="E100" i="36"/>
  <c r="E11" i="36" s="1"/>
  <c r="E93" i="36"/>
  <c r="E10" i="36" s="1"/>
  <c r="G166" i="36" l="1"/>
  <c r="H163" i="40"/>
  <c r="F11" i="40"/>
  <c r="D41" i="40"/>
  <c r="H36" i="46"/>
  <c r="H40" i="46" s="1"/>
  <c r="G36" i="46"/>
  <c r="G40" i="46" s="1"/>
  <c r="D9" i="40"/>
  <c r="H11" i="40"/>
  <c r="D10" i="46"/>
  <c r="D8" i="46" s="1"/>
  <c r="G11" i="40"/>
  <c r="D12" i="36"/>
  <c r="D11" i="36"/>
  <c r="E11" i="40"/>
  <c r="F157" i="40"/>
  <c r="E158" i="39"/>
  <c r="E151" i="39" s="1"/>
  <c r="E50" i="39" s="1"/>
  <c r="E52" i="39" s="1"/>
  <c r="E87" i="40"/>
  <c r="H158" i="39"/>
  <c r="G87" i="40"/>
  <c r="G10" i="40" s="1"/>
  <c r="G158" i="39"/>
  <c r="F158" i="39"/>
  <c r="F35" i="40"/>
  <c r="F136" i="39"/>
  <c r="F26" i="39" s="1"/>
  <c r="D26" i="39" s="1"/>
  <c r="D43" i="36"/>
  <c r="G197" i="46"/>
  <c r="G46" i="46" s="1"/>
  <c r="G195" i="46"/>
  <c r="G44" i="46" s="1"/>
  <c r="G196" i="46"/>
  <c r="G45" i="46" s="1"/>
  <c r="G194" i="46"/>
  <c r="H197" i="46"/>
  <c r="H46" i="46" s="1"/>
  <c r="H196" i="46"/>
  <c r="H45" i="46" s="1"/>
  <c r="H195" i="46"/>
  <c r="H44" i="46" s="1"/>
  <c r="H194" i="46"/>
  <c r="F197" i="46"/>
  <c r="F46" i="46" s="1"/>
  <c r="F196" i="46"/>
  <c r="F45" i="46" s="1"/>
  <c r="F195" i="46"/>
  <c r="F44" i="46" s="1"/>
  <c r="F194" i="46"/>
  <c r="H118" i="40"/>
  <c r="F87" i="40"/>
  <c r="F10" i="40" s="1"/>
  <c r="H87" i="40"/>
  <c r="H10" i="40" s="1"/>
  <c r="E35" i="40"/>
  <c r="D32" i="40"/>
  <c r="D35" i="40" s="1"/>
  <c r="F166" i="36"/>
  <c r="G131" i="36"/>
  <c r="D51" i="39"/>
  <c r="F113" i="39"/>
  <c r="F172" i="39"/>
  <c r="G166" i="20"/>
  <c r="G39" i="20" s="1"/>
  <c r="E43" i="39"/>
  <c r="D40" i="39"/>
  <c r="D43" i="39" s="1"/>
  <c r="E28" i="39"/>
  <c r="D35" i="39"/>
  <c r="E35" i="39"/>
  <c r="G8" i="40" l="1"/>
  <c r="H166" i="36"/>
  <c r="G183" i="36"/>
  <c r="H183" i="36" s="1"/>
  <c r="H177" i="36"/>
  <c r="H175" i="36" s="1"/>
  <c r="F177" i="36"/>
  <c r="E177" i="36"/>
  <c r="G177" i="36"/>
  <c r="G175" i="36" s="1"/>
  <c r="F155" i="40"/>
  <c r="F154" i="40"/>
  <c r="E38" i="40" s="1"/>
  <c r="G157" i="40"/>
  <c r="F8" i="40"/>
  <c r="D36" i="46"/>
  <c r="D40" i="46" s="1"/>
  <c r="H79" i="40"/>
  <c r="H13" i="40"/>
  <c r="H8" i="40" s="1"/>
  <c r="E79" i="40"/>
  <c r="E10" i="40"/>
  <c r="G79" i="40"/>
  <c r="F79" i="40"/>
  <c r="D46" i="46"/>
  <c r="D45" i="46"/>
  <c r="H43" i="46"/>
  <c r="H48" i="46" s="1"/>
  <c r="H191" i="46"/>
  <c r="H190" i="46" s="1"/>
  <c r="G191" i="46"/>
  <c r="G190" i="46" s="1"/>
  <c r="G43" i="46"/>
  <c r="G48" i="46" s="1"/>
  <c r="F43" i="46"/>
  <c r="F191" i="46"/>
  <c r="F190" i="46" s="1"/>
  <c r="D44" i="46"/>
  <c r="D11" i="40"/>
  <c r="E177" i="40"/>
  <c r="E175" i="40" s="1"/>
  <c r="E40" i="40" s="1"/>
  <c r="E166" i="40"/>
  <c r="E164" i="40" s="1"/>
  <c r="E161" i="40"/>
  <c r="G113" i="39"/>
  <c r="F111" i="39"/>
  <c r="F25" i="39" s="1"/>
  <c r="F28" i="39" s="1"/>
  <c r="H166" i="20"/>
  <c r="H39" i="20" s="1"/>
  <c r="D39" i="20" s="1"/>
  <c r="F83" i="36"/>
  <c r="G83" i="36"/>
  <c r="H83" i="36"/>
  <c r="H128" i="36" s="1"/>
  <c r="E83" i="36"/>
  <c r="H266" i="36"/>
  <c r="H264" i="36" s="1"/>
  <c r="G266" i="36"/>
  <c r="G264" i="36" s="1"/>
  <c r="F266" i="36"/>
  <c r="F265" i="36"/>
  <c r="E264" i="36"/>
  <c r="H260" i="36"/>
  <c r="H259" i="36" s="1"/>
  <c r="G260" i="36"/>
  <c r="G259" i="36" s="1"/>
  <c r="F260" i="36"/>
  <c r="F259" i="36" s="1"/>
  <c r="E259" i="36"/>
  <c r="H257" i="36"/>
  <c r="H255" i="36" s="1"/>
  <c r="G257" i="36"/>
  <c r="G255" i="36" s="1"/>
  <c r="F257" i="36"/>
  <c r="F255" i="36" s="1"/>
  <c r="E257" i="36"/>
  <c r="E255" i="36" s="1"/>
  <c r="H253" i="36"/>
  <c r="H251" i="36" s="1"/>
  <c r="G253" i="36"/>
  <c r="G251" i="36" s="1"/>
  <c r="F253" i="36"/>
  <c r="F251" i="36" s="1"/>
  <c r="E253" i="36"/>
  <c r="E251" i="36" s="1"/>
  <c r="E247" i="36"/>
  <c r="G246" i="36"/>
  <c r="F246" i="36"/>
  <c r="G245" i="36"/>
  <c r="F245" i="36"/>
  <c r="E244" i="36"/>
  <c r="H241" i="36"/>
  <c r="G241" i="36"/>
  <c r="F241" i="36"/>
  <c r="E241" i="36"/>
  <c r="H239" i="36"/>
  <c r="G239" i="36"/>
  <c r="F239" i="36"/>
  <c r="E239" i="36"/>
  <c r="H237" i="36"/>
  <c r="G237" i="36"/>
  <c r="F237" i="36"/>
  <c r="E237" i="36"/>
  <c r="H235" i="36"/>
  <c r="G235" i="36"/>
  <c r="F235" i="36"/>
  <c r="F233" i="36" s="1"/>
  <c r="F57" i="36" s="1"/>
  <c r="E235" i="36"/>
  <c r="H226" i="36"/>
  <c r="G226" i="36"/>
  <c r="F226" i="36"/>
  <c r="E226" i="36"/>
  <c r="H213" i="36"/>
  <c r="H211" i="36" s="1"/>
  <c r="H35" i="36" s="1"/>
  <c r="G213" i="36"/>
  <c r="G211" i="36" s="1"/>
  <c r="G35" i="36" s="1"/>
  <c r="F213" i="36"/>
  <c r="E213" i="36"/>
  <c r="E211" i="36" s="1"/>
  <c r="E35" i="36" s="1"/>
  <c r="F212" i="36"/>
  <c r="H196" i="36"/>
  <c r="G196" i="36"/>
  <c r="F196" i="36"/>
  <c r="E196" i="36"/>
  <c r="H188" i="36"/>
  <c r="G188" i="36"/>
  <c r="F188" i="36"/>
  <c r="H185" i="36"/>
  <c r="G185" i="36"/>
  <c r="F185" i="36"/>
  <c r="E185" i="36"/>
  <c r="H182" i="36"/>
  <c r="G182" i="36"/>
  <c r="F182" i="36"/>
  <c r="E182" i="36"/>
  <c r="E171" i="36"/>
  <c r="F171" i="36" s="1"/>
  <c r="E29" i="36"/>
  <c r="E31" i="36" s="1"/>
  <c r="H10" i="36"/>
  <c r="G93" i="36"/>
  <c r="G10" i="36" s="1"/>
  <c r="E70" i="36"/>
  <c r="E67" i="36" s="1"/>
  <c r="H69" i="36"/>
  <c r="G69" i="36"/>
  <c r="F69" i="36"/>
  <c r="D44" i="36"/>
  <c r="H40" i="36"/>
  <c r="G40" i="36"/>
  <c r="D30" i="36"/>
  <c r="G135" i="35"/>
  <c r="H135" i="35"/>
  <c r="F135" i="35"/>
  <c r="F134" i="35"/>
  <c r="G134" i="35"/>
  <c r="G132" i="35" s="1"/>
  <c r="G128" i="35" s="1"/>
  <c r="G26" i="35" s="1"/>
  <c r="H134" i="35"/>
  <c r="H132" i="35" s="1"/>
  <c r="H128" i="35" s="1"/>
  <c r="H26" i="35" s="1"/>
  <c r="E134" i="35"/>
  <c r="E132" i="35" s="1"/>
  <c r="E128" i="35" s="1"/>
  <c r="E26" i="35" s="1"/>
  <c r="F122" i="35"/>
  <c r="F117" i="35" s="1"/>
  <c r="G122" i="35"/>
  <c r="H122" i="35"/>
  <c r="E122" i="35"/>
  <c r="E117" i="35" s="1"/>
  <c r="E32" i="35" s="1"/>
  <c r="E35" i="35" s="1"/>
  <c r="G91" i="35"/>
  <c r="H91" i="35"/>
  <c r="F91" i="35"/>
  <c r="G64" i="35"/>
  <c r="H64" i="35"/>
  <c r="F64" i="35"/>
  <c r="G40" i="35"/>
  <c r="G43" i="35" s="1"/>
  <c r="F40" i="35"/>
  <c r="F43" i="35" s="1"/>
  <c r="H170" i="35"/>
  <c r="G170" i="35"/>
  <c r="F170" i="35"/>
  <c r="F169" i="35"/>
  <c r="H168" i="35"/>
  <c r="G168" i="35"/>
  <c r="E168" i="35"/>
  <c r="H164" i="35"/>
  <c r="H163" i="35" s="1"/>
  <c r="G164" i="35"/>
  <c r="G163" i="35" s="1"/>
  <c r="F164" i="35"/>
  <c r="F163" i="35" s="1"/>
  <c r="E163" i="35"/>
  <c r="H161" i="35"/>
  <c r="G161" i="35"/>
  <c r="F161" i="35"/>
  <c r="E161" i="35"/>
  <c r="E159" i="35" s="1"/>
  <c r="H159" i="35"/>
  <c r="G159" i="35"/>
  <c r="F159" i="35"/>
  <c r="H157" i="35"/>
  <c r="H155" i="35" s="1"/>
  <c r="G157" i="35"/>
  <c r="G155" i="35" s="1"/>
  <c r="F157" i="35"/>
  <c r="F155" i="35" s="1"/>
  <c r="E157" i="35"/>
  <c r="E155" i="35" s="1"/>
  <c r="E151" i="35"/>
  <c r="G150" i="35"/>
  <c r="F150" i="35"/>
  <c r="G149" i="35"/>
  <c r="F149" i="35"/>
  <c r="E148" i="35"/>
  <c r="H145" i="35"/>
  <c r="G145" i="35"/>
  <c r="F145" i="35"/>
  <c r="E145" i="35"/>
  <c r="H143" i="35"/>
  <c r="G143" i="35"/>
  <c r="F143" i="35"/>
  <c r="E143" i="35"/>
  <c r="H141" i="35"/>
  <c r="G141" i="35"/>
  <c r="F141" i="35"/>
  <c r="E141" i="35"/>
  <c r="E137" i="35" s="1"/>
  <c r="E47" i="35" s="1"/>
  <c r="H139" i="35"/>
  <c r="G139" i="35"/>
  <c r="F139" i="35"/>
  <c r="E139" i="35"/>
  <c r="H137" i="35"/>
  <c r="H47" i="35" s="1"/>
  <c r="G137" i="35"/>
  <c r="G47" i="35" s="1"/>
  <c r="F137" i="35"/>
  <c r="F47" i="35" s="1"/>
  <c r="F133" i="35"/>
  <c r="E109" i="35"/>
  <c r="F109" i="35" s="1"/>
  <c r="G109" i="35" s="1"/>
  <c r="H104" i="35"/>
  <c r="G104" i="35"/>
  <c r="F104" i="35"/>
  <c r="E104" i="35"/>
  <c r="E103" i="35" s="1"/>
  <c r="E99" i="35" s="1"/>
  <c r="E20" i="35" s="1"/>
  <c r="E22" i="35" s="1"/>
  <c r="H101" i="35"/>
  <c r="G101" i="35"/>
  <c r="F101" i="35"/>
  <c r="E57" i="35"/>
  <c r="D42" i="35"/>
  <c r="D41" i="35"/>
  <c r="H40" i="35"/>
  <c r="H43" i="35" s="1"/>
  <c r="E40" i="35"/>
  <c r="D39" i="35"/>
  <c r="D38" i="35"/>
  <c r="H35" i="35"/>
  <c r="G35" i="35"/>
  <c r="F35" i="35"/>
  <c r="D34" i="35"/>
  <c r="D33" i="35"/>
  <c r="D31" i="35"/>
  <c r="D21" i="35"/>
  <c r="E3" i="35"/>
  <c r="F3" i="35" s="1"/>
  <c r="G3" i="35" s="1"/>
  <c r="H3" i="35" s="1"/>
  <c r="H170" i="34"/>
  <c r="G170" i="34"/>
  <c r="F170" i="34"/>
  <c r="F169" i="34"/>
  <c r="H168" i="34"/>
  <c r="G168" i="34"/>
  <c r="E168" i="34"/>
  <c r="H164" i="34"/>
  <c r="H163" i="34" s="1"/>
  <c r="G164" i="34"/>
  <c r="G163" i="34" s="1"/>
  <c r="F164" i="34"/>
  <c r="F163" i="34" s="1"/>
  <c r="E163" i="34"/>
  <c r="H161" i="34"/>
  <c r="H159" i="34" s="1"/>
  <c r="G161" i="34"/>
  <c r="F161" i="34"/>
  <c r="E161" i="34"/>
  <c r="E159" i="34" s="1"/>
  <c r="G159" i="34"/>
  <c r="F159" i="34"/>
  <c r="H157" i="34"/>
  <c r="G157" i="34"/>
  <c r="F157" i="34"/>
  <c r="F155" i="34" s="1"/>
  <c r="F154" i="34" s="1"/>
  <c r="E157" i="34"/>
  <c r="E155" i="34" s="1"/>
  <c r="H155" i="34"/>
  <c r="G155" i="34"/>
  <c r="E151" i="34"/>
  <c r="G150" i="34"/>
  <c r="F150" i="34"/>
  <c r="G149" i="34"/>
  <c r="F149" i="34"/>
  <c r="E148" i="34"/>
  <c r="H145" i="34"/>
  <c r="G145" i="34"/>
  <c r="F145" i="34"/>
  <c r="E145" i="34"/>
  <c r="H143" i="34"/>
  <c r="G143" i="34"/>
  <c r="F143" i="34"/>
  <c r="E143" i="34"/>
  <c r="H141" i="34"/>
  <c r="G141" i="34"/>
  <c r="F141" i="34"/>
  <c r="E141" i="34"/>
  <c r="E137" i="34" s="1"/>
  <c r="E47" i="34" s="1"/>
  <c r="H139" i="34"/>
  <c r="H137" i="34" s="1"/>
  <c r="H47" i="34" s="1"/>
  <c r="G139" i="34"/>
  <c r="G137" i="34" s="1"/>
  <c r="G47" i="34" s="1"/>
  <c r="F139" i="34"/>
  <c r="F137" i="34" s="1"/>
  <c r="F47" i="34" s="1"/>
  <c r="E139" i="34"/>
  <c r="H134" i="34"/>
  <c r="H132" i="34" s="1"/>
  <c r="H26" i="34" s="1"/>
  <c r="G134" i="34"/>
  <c r="G132" i="34" s="1"/>
  <c r="G26" i="34" s="1"/>
  <c r="F134" i="34"/>
  <c r="E134" i="34"/>
  <c r="E132" i="34" s="1"/>
  <c r="E26" i="34" s="1"/>
  <c r="F133" i="34"/>
  <c r="E122" i="34"/>
  <c r="E117" i="34" s="1"/>
  <c r="E32" i="34" s="1"/>
  <c r="E109" i="34"/>
  <c r="E107" i="34" s="1"/>
  <c r="E25" i="34" s="1"/>
  <c r="H104" i="34"/>
  <c r="G104" i="34"/>
  <c r="F104" i="34"/>
  <c r="E104" i="34"/>
  <c r="E103" i="34" s="1"/>
  <c r="E99" i="34" s="1"/>
  <c r="E20" i="34" s="1"/>
  <c r="H101" i="34"/>
  <c r="G101" i="34"/>
  <c r="F101" i="34"/>
  <c r="E57" i="34"/>
  <c r="D42" i="34"/>
  <c r="D41" i="34"/>
  <c r="D39" i="34"/>
  <c r="D38" i="34"/>
  <c r="H35" i="34"/>
  <c r="G35" i="34"/>
  <c r="F35" i="34"/>
  <c r="D34" i="34"/>
  <c r="D33" i="34"/>
  <c r="D31" i="34"/>
  <c r="D21" i="34"/>
  <c r="F104" i="33"/>
  <c r="G104" i="33"/>
  <c r="H104" i="33"/>
  <c r="E104" i="33"/>
  <c r="E103" i="33" s="1"/>
  <c r="E99" i="33" s="1"/>
  <c r="E20" i="33" s="1"/>
  <c r="E22" i="33" s="1"/>
  <c r="E122" i="33"/>
  <c r="E117" i="33" s="1"/>
  <c r="E32" i="33" s="1"/>
  <c r="H170" i="33"/>
  <c r="G170" i="33"/>
  <c r="F170" i="33"/>
  <c r="F169" i="33"/>
  <c r="H168" i="33"/>
  <c r="G168" i="33"/>
  <c r="E168" i="33"/>
  <c r="H164" i="33"/>
  <c r="H163" i="33" s="1"/>
  <c r="G164" i="33"/>
  <c r="G163" i="33" s="1"/>
  <c r="F164" i="33"/>
  <c r="F163" i="33" s="1"/>
  <c r="E163" i="33"/>
  <c r="H161" i="33"/>
  <c r="H159" i="33" s="1"/>
  <c r="G161" i="33"/>
  <c r="F161" i="33"/>
  <c r="E161" i="33"/>
  <c r="G159" i="33"/>
  <c r="F159" i="33"/>
  <c r="E159" i="33"/>
  <c r="H157" i="33"/>
  <c r="G157" i="33"/>
  <c r="G155" i="33" s="1"/>
  <c r="G154" i="33" s="1"/>
  <c r="F157" i="33"/>
  <c r="F155" i="33" s="1"/>
  <c r="F154" i="33" s="1"/>
  <c r="E157" i="33"/>
  <c r="E155" i="33" s="1"/>
  <c r="E154" i="33" s="1"/>
  <c r="H155" i="33"/>
  <c r="E151" i="33"/>
  <c r="G150" i="33"/>
  <c r="F150" i="33"/>
  <c r="G149" i="33"/>
  <c r="F149" i="33"/>
  <c r="E148" i="33"/>
  <c r="H145" i="33"/>
  <c r="G145" i="33"/>
  <c r="F145" i="33"/>
  <c r="E145" i="33"/>
  <c r="H143" i="33"/>
  <c r="G143" i="33"/>
  <c r="F143" i="33"/>
  <c r="E143" i="33"/>
  <c r="H141" i="33"/>
  <c r="G141" i="33"/>
  <c r="F141" i="33"/>
  <c r="E141" i="33"/>
  <c r="H139" i="33"/>
  <c r="H137" i="33" s="1"/>
  <c r="H47" i="33" s="1"/>
  <c r="G139" i="33"/>
  <c r="G137" i="33" s="1"/>
  <c r="G47" i="33" s="1"/>
  <c r="F139" i="33"/>
  <c r="F137" i="33" s="1"/>
  <c r="F47" i="33" s="1"/>
  <c r="E139" i="33"/>
  <c r="E137" i="33" s="1"/>
  <c r="E47" i="33" s="1"/>
  <c r="H134" i="33"/>
  <c r="H132" i="33" s="1"/>
  <c r="H26" i="33" s="1"/>
  <c r="G134" i="33"/>
  <c r="G132" i="33" s="1"/>
  <c r="G26" i="33" s="1"/>
  <c r="F134" i="33"/>
  <c r="E134" i="33"/>
  <c r="E132" i="33" s="1"/>
  <c r="E26" i="33" s="1"/>
  <c r="F133" i="33"/>
  <c r="E109" i="33"/>
  <c r="F109" i="33" s="1"/>
  <c r="H101" i="33"/>
  <c r="G101" i="33"/>
  <c r="F101" i="33"/>
  <c r="E57" i="33"/>
  <c r="D42" i="33"/>
  <c r="D41" i="33"/>
  <c r="D39" i="33"/>
  <c r="D38" i="33"/>
  <c r="H35" i="33"/>
  <c r="G35" i="33"/>
  <c r="F35" i="33"/>
  <c r="D34" i="33"/>
  <c r="D33" i="33"/>
  <c r="D31" i="33"/>
  <c r="D21" i="33"/>
  <c r="H170" i="32"/>
  <c r="G170" i="32"/>
  <c r="G168" i="32" s="1"/>
  <c r="F170" i="32"/>
  <c r="F169" i="32"/>
  <c r="H168" i="32"/>
  <c r="E168" i="32"/>
  <c r="H164" i="32"/>
  <c r="H163" i="32" s="1"/>
  <c r="G164" i="32"/>
  <c r="G163" i="32" s="1"/>
  <c r="F164" i="32"/>
  <c r="F163" i="32" s="1"/>
  <c r="E163" i="32"/>
  <c r="H161" i="32"/>
  <c r="H159" i="32" s="1"/>
  <c r="G161" i="32"/>
  <c r="F161" i="32"/>
  <c r="E161" i="32"/>
  <c r="G159" i="32"/>
  <c r="F159" i="32"/>
  <c r="E159" i="32"/>
  <c r="H157" i="32"/>
  <c r="G157" i="32"/>
  <c r="G155" i="32" s="1"/>
  <c r="G154" i="32" s="1"/>
  <c r="F157" i="32"/>
  <c r="F155" i="32" s="1"/>
  <c r="F154" i="32" s="1"/>
  <c r="E157" i="32"/>
  <c r="E155" i="32" s="1"/>
  <c r="E154" i="32" s="1"/>
  <c r="H155" i="32"/>
  <c r="H154" i="32" s="1"/>
  <c r="E151" i="32"/>
  <c r="G150" i="32"/>
  <c r="F150" i="32"/>
  <c r="G149" i="32"/>
  <c r="F149" i="32"/>
  <c r="E148" i="32"/>
  <c r="H145" i="32"/>
  <c r="G145" i="32"/>
  <c r="F145" i="32"/>
  <c r="E145" i="32"/>
  <c r="H143" i="32"/>
  <c r="G143" i="32"/>
  <c r="F143" i="32"/>
  <c r="E143" i="32"/>
  <c r="H141" i="32"/>
  <c r="G141" i="32"/>
  <c r="G137" i="32" s="1"/>
  <c r="G47" i="32" s="1"/>
  <c r="F141" i="32"/>
  <c r="E141" i="32"/>
  <c r="H139" i="32"/>
  <c r="H137" i="32" s="1"/>
  <c r="H47" i="32" s="1"/>
  <c r="G139" i="32"/>
  <c r="F139" i="32"/>
  <c r="E139" i="32"/>
  <c r="H134" i="32"/>
  <c r="H132" i="32" s="1"/>
  <c r="H26" i="32" s="1"/>
  <c r="G134" i="32"/>
  <c r="G132" i="32" s="1"/>
  <c r="G26" i="32" s="1"/>
  <c r="F134" i="32"/>
  <c r="E134" i="32"/>
  <c r="E132" i="32" s="1"/>
  <c r="E26" i="32" s="1"/>
  <c r="E109" i="32"/>
  <c r="F109" i="32" s="1"/>
  <c r="H104" i="32"/>
  <c r="G104" i="32"/>
  <c r="F104" i="32"/>
  <c r="E104" i="32"/>
  <c r="E103" i="32" s="1"/>
  <c r="E99" i="32" s="1"/>
  <c r="E20" i="32" s="1"/>
  <c r="E22" i="32" s="1"/>
  <c r="H101" i="32"/>
  <c r="G101" i="32"/>
  <c r="F101" i="32"/>
  <c r="E57" i="32"/>
  <c r="H43" i="32"/>
  <c r="G43" i="32"/>
  <c r="F43" i="32"/>
  <c r="E43" i="32"/>
  <c r="D42" i="32"/>
  <c r="D41" i="32"/>
  <c r="D40" i="32"/>
  <c r="D39" i="32"/>
  <c r="D38" i="32"/>
  <c r="H35" i="32"/>
  <c r="G35" i="32"/>
  <c r="F35" i="32"/>
  <c r="E35" i="32"/>
  <c r="D34" i="32"/>
  <c r="D33" i="32"/>
  <c r="D32" i="32"/>
  <c r="D31" i="32"/>
  <c r="D21" i="32"/>
  <c r="F134" i="31"/>
  <c r="G134" i="31"/>
  <c r="G132" i="31" s="1"/>
  <c r="G26" i="31" s="1"/>
  <c r="H134" i="31"/>
  <c r="H132" i="31" s="1"/>
  <c r="H26" i="31" s="1"/>
  <c r="E134" i="31"/>
  <c r="E132" i="31" s="1"/>
  <c r="E26" i="31" s="1"/>
  <c r="F135" i="31"/>
  <c r="H170" i="31"/>
  <c r="G170" i="31"/>
  <c r="F170" i="31"/>
  <c r="F169" i="31"/>
  <c r="H168" i="31"/>
  <c r="G168" i="31"/>
  <c r="E168" i="31"/>
  <c r="H164" i="31"/>
  <c r="H163" i="31" s="1"/>
  <c r="G164" i="31"/>
  <c r="G163" i="31" s="1"/>
  <c r="F164" i="31"/>
  <c r="F163" i="31" s="1"/>
  <c r="E163" i="31"/>
  <c r="H161" i="31"/>
  <c r="G161" i="31"/>
  <c r="F161" i="31"/>
  <c r="E161" i="31"/>
  <c r="H159" i="31"/>
  <c r="G159" i="31"/>
  <c r="F159" i="31"/>
  <c r="E159" i="31"/>
  <c r="H157" i="31"/>
  <c r="G157" i="31"/>
  <c r="F157" i="31"/>
  <c r="F155" i="31" s="1"/>
  <c r="F154" i="31" s="1"/>
  <c r="E157" i="31"/>
  <c r="E155" i="31" s="1"/>
  <c r="E154" i="31" s="1"/>
  <c r="H155" i="31"/>
  <c r="G155" i="31"/>
  <c r="E151" i="31"/>
  <c r="G150" i="31"/>
  <c r="F150" i="31"/>
  <c r="G149" i="31"/>
  <c r="F149" i="31"/>
  <c r="E148" i="31"/>
  <c r="H145" i="31"/>
  <c r="G145" i="31"/>
  <c r="F145" i="31"/>
  <c r="E145" i="31"/>
  <c r="H143" i="31"/>
  <c r="G143" i="31"/>
  <c r="F143" i="31"/>
  <c r="F137" i="31" s="1"/>
  <c r="F47" i="31" s="1"/>
  <c r="E143" i="31"/>
  <c r="H141" i="31"/>
  <c r="G141" i="31"/>
  <c r="F141" i="31"/>
  <c r="E141" i="31"/>
  <c r="H139" i="31"/>
  <c r="H137" i="31" s="1"/>
  <c r="H47" i="31" s="1"/>
  <c r="G139" i="31"/>
  <c r="G137" i="31" s="1"/>
  <c r="G47" i="31" s="1"/>
  <c r="F139" i="31"/>
  <c r="E139" i="31"/>
  <c r="E137" i="31"/>
  <c r="E47" i="31" s="1"/>
  <c r="E109" i="31"/>
  <c r="F109" i="31" s="1"/>
  <c r="F107" i="31" s="1"/>
  <c r="F25" i="31" s="1"/>
  <c r="H104" i="31"/>
  <c r="G104" i="31"/>
  <c r="F104" i="31"/>
  <c r="E104" i="31"/>
  <c r="E103" i="31" s="1"/>
  <c r="E99" i="31" s="1"/>
  <c r="E20" i="31" s="1"/>
  <c r="H101" i="31"/>
  <c r="G101" i="31"/>
  <c r="F101" i="31"/>
  <c r="E57" i="31"/>
  <c r="H43" i="31"/>
  <c r="G43" i="31"/>
  <c r="F43" i="31"/>
  <c r="E43" i="31"/>
  <c r="D42" i="31"/>
  <c r="D41" i="31"/>
  <c r="D40" i="31"/>
  <c r="D39" i="31"/>
  <c r="D38" i="31"/>
  <c r="H35" i="31"/>
  <c r="G35" i="31"/>
  <c r="F35" i="31"/>
  <c r="E35" i="31"/>
  <c r="D34" i="31"/>
  <c r="D33" i="31"/>
  <c r="D32" i="31"/>
  <c r="D31" i="31"/>
  <c r="D21" i="31"/>
  <c r="F104" i="30"/>
  <c r="G104" i="30"/>
  <c r="H104" i="30"/>
  <c r="E104" i="30"/>
  <c r="E103" i="30" s="1"/>
  <c r="E99" i="30" s="1"/>
  <c r="E20" i="30" s="1"/>
  <c r="F105" i="30"/>
  <c r="G105" i="30"/>
  <c r="H105" i="30"/>
  <c r="F169" i="30"/>
  <c r="G149" i="30"/>
  <c r="F149" i="30"/>
  <c r="C14" i="7"/>
  <c r="C27" i="7" s="1"/>
  <c r="H170" i="30"/>
  <c r="H168" i="30" s="1"/>
  <c r="G170" i="30"/>
  <c r="G168" i="30" s="1"/>
  <c r="F170" i="30"/>
  <c r="E168" i="30"/>
  <c r="H164" i="30"/>
  <c r="H163" i="30" s="1"/>
  <c r="G164" i="30"/>
  <c r="G163" i="30" s="1"/>
  <c r="F164" i="30"/>
  <c r="F163" i="30" s="1"/>
  <c r="E163" i="30"/>
  <c r="H161" i="30"/>
  <c r="H159" i="30" s="1"/>
  <c r="G161" i="30"/>
  <c r="G159" i="30" s="1"/>
  <c r="F161" i="30"/>
  <c r="F159" i="30" s="1"/>
  <c r="E161" i="30"/>
  <c r="E159" i="30" s="1"/>
  <c r="H157" i="30"/>
  <c r="G157" i="30"/>
  <c r="F157" i="30"/>
  <c r="E157" i="30"/>
  <c r="E155" i="30" s="1"/>
  <c r="H155" i="30"/>
  <c r="G155" i="30"/>
  <c r="F155" i="30"/>
  <c r="E151" i="30"/>
  <c r="G150" i="30"/>
  <c r="F150" i="30"/>
  <c r="E148" i="30"/>
  <c r="H145" i="30"/>
  <c r="G145" i="30"/>
  <c r="F145" i="30"/>
  <c r="E145" i="30"/>
  <c r="H143" i="30"/>
  <c r="G143" i="30"/>
  <c r="F143" i="30"/>
  <c r="E143" i="30"/>
  <c r="H141" i="30"/>
  <c r="G141" i="30"/>
  <c r="F141" i="30"/>
  <c r="E141" i="30"/>
  <c r="H139" i="30"/>
  <c r="G139" i="30"/>
  <c r="F139" i="30"/>
  <c r="E139" i="30"/>
  <c r="H134" i="30"/>
  <c r="H132" i="30" s="1"/>
  <c r="H26" i="30" s="1"/>
  <c r="G134" i="30"/>
  <c r="G132" i="30" s="1"/>
  <c r="G26" i="30" s="1"/>
  <c r="F134" i="30"/>
  <c r="F132" i="30" s="1"/>
  <c r="F26" i="30" s="1"/>
  <c r="E134" i="30"/>
  <c r="E132" i="30" s="1"/>
  <c r="E26" i="30" s="1"/>
  <c r="E109" i="30"/>
  <c r="F109" i="30" s="1"/>
  <c r="H101" i="30"/>
  <c r="G101" i="30"/>
  <c r="F101" i="30"/>
  <c r="E57" i="30"/>
  <c r="H43" i="30"/>
  <c r="G43" i="30"/>
  <c r="F43" i="30"/>
  <c r="E43" i="30"/>
  <c r="D42" i="30"/>
  <c r="D41" i="30"/>
  <c r="D40" i="30"/>
  <c r="D39" i="30"/>
  <c r="D38" i="30"/>
  <c r="H35" i="30"/>
  <c r="G35" i="30"/>
  <c r="F35" i="30"/>
  <c r="E35" i="30"/>
  <c r="D34" i="30"/>
  <c r="D33" i="30"/>
  <c r="D32" i="30"/>
  <c r="D31" i="30"/>
  <c r="D21" i="30"/>
  <c r="C176" i="29"/>
  <c r="H172" i="29"/>
  <c r="H170" i="29" s="1"/>
  <c r="G172" i="29"/>
  <c r="F172" i="29"/>
  <c r="F171" i="29"/>
  <c r="G170" i="29"/>
  <c r="E170" i="29"/>
  <c r="H166" i="29"/>
  <c r="H165" i="29" s="1"/>
  <c r="G166" i="29"/>
  <c r="G165" i="29" s="1"/>
  <c r="F166" i="29"/>
  <c r="F165" i="29" s="1"/>
  <c r="E165" i="29"/>
  <c r="H163" i="29"/>
  <c r="H161" i="29" s="1"/>
  <c r="G163" i="29"/>
  <c r="G161" i="29" s="1"/>
  <c r="F163" i="29"/>
  <c r="F161" i="29" s="1"/>
  <c r="E163" i="29"/>
  <c r="E161" i="29" s="1"/>
  <c r="H159" i="29"/>
  <c r="G159" i="29"/>
  <c r="F159" i="29"/>
  <c r="E159" i="29"/>
  <c r="H157" i="29"/>
  <c r="G157" i="29"/>
  <c r="F157" i="29"/>
  <c r="F156" i="29" s="1"/>
  <c r="E157" i="29"/>
  <c r="E153" i="29"/>
  <c r="G152" i="29"/>
  <c r="F152" i="29"/>
  <c r="G151" i="29"/>
  <c r="F151" i="29"/>
  <c r="E150" i="29"/>
  <c r="H147" i="29"/>
  <c r="G147" i="29"/>
  <c r="F147" i="29"/>
  <c r="E147" i="29"/>
  <c r="H145" i="29"/>
  <c r="G145" i="29"/>
  <c r="F145" i="29"/>
  <c r="E145" i="29"/>
  <c r="H143" i="29"/>
  <c r="G143" i="29"/>
  <c r="F143" i="29"/>
  <c r="E143" i="29"/>
  <c r="H141" i="29"/>
  <c r="G141" i="29"/>
  <c r="F141" i="29"/>
  <c r="F139" i="29" s="1"/>
  <c r="F51" i="29" s="1"/>
  <c r="E141" i="29"/>
  <c r="E139" i="29" s="1"/>
  <c r="E51" i="29" s="1"/>
  <c r="H139" i="29"/>
  <c r="H51" i="29" s="1"/>
  <c r="H136" i="29"/>
  <c r="H134" i="29" s="1"/>
  <c r="H26" i="29" s="1"/>
  <c r="G136" i="29"/>
  <c r="G134" i="29" s="1"/>
  <c r="G26" i="29" s="1"/>
  <c r="F136" i="29"/>
  <c r="E136" i="29"/>
  <c r="E134" i="29" s="1"/>
  <c r="E26" i="29" s="1"/>
  <c r="F135" i="29"/>
  <c r="E111" i="29"/>
  <c r="E103" i="29"/>
  <c r="E20" i="29" s="1"/>
  <c r="E64" i="29"/>
  <c r="H63" i="29"/>
  <c r="G63" i="29"/>
  <c r="F63" i="29"/>
  <c r="H43" i="29"/>
  <c r="G43" i="29"/>
  <c r="F43" i="29"/>
  <c r="E43" i="29"/>
  <c r="D42" i="29"/>
  <c r="D41" i="29"/>
  <c r="D40" i="29"/>
  <c r="D39" i="29"/>
  <c r="D38" i="29"/>
  <c r="H35" i="29"/>
  <c r="G35" i="29"/>
  <c r="F35" i="29"/>
  <c r="E35" i="29"/>
  <c r="D34" i="29"/>
  <c r="D33" i="29"/>
  <c r="D32" i="29"/>
  <c r="D31" i="29"/>
  <c r="D21" i="29"/>
  <c r="C176" i="28"/>
  <c r="H172" i="28"/>
  <c r="G172" i="28"/>
  <c r="F172" i="28"/>
  <c r="F171" i="28"/>
  <c r="H170" i="28"/>
  <c r="G170" i="28"/>
  <c r="E170" i="28"/>
  <c r="H166" i="28"/>
  <c r="H165" i="28" s="1"/>
  <c r="G166" i="28"/>
  <c r="G165" i="28" s="1"/>
  <c r="F166" i="28"/>
  <c r="F165" i="28" s="1"/>
  <c r="E165" i="28"/>
  <c r="H163" i="28"/>
  <c r="G163" i="28"/>
  <c r="F163" i="28"/>
  <c r="E163" i="28"/>
  <c r="E161" i="28" s="1"/>
  <c r="H161" i="28"/>
  <c r="G161" i="28"/>
  <c r="F161" i="28"/>
  <c r="H159" i="28"/>
  <c r="G159" i="28"/>
  <c r="G157" i="28" s="1"/>
  <c r="F159" i="28"/>
  <c r="F157" i="28" s="1"/>
  <c r="E159" i="28"/>
  <c r="E157" i="28" s="1"/>
  <c r="H157" i="28"/>
  <c r="E153" i="28"/>
  <c r="G152" i="28"/>
  <c r="F152" i="28"/>
  <c r="G151" i="28"/>
  <c r="F151" i="28"/>
  <c r="E150" i="28"/>
  <c r="H147" i="28"/>
  <c r="G147" i="28"/>
  <c r="F147" i="28"/>
  <c r="E147" i="28"/>
  <c r="H145" i="28"/>
  <c r="G145" i="28"/>
  <c r="F145" i="28"/>
  <c r="E145" i="28"/>
  <c r="H143" i="28"/>
  <c r="G143" i="28"/>
  <c r="F143" i="28"/>
  <c r="E143" i="28"/>
  <c r="H141" i="28"/>
  <c r="G141" i="28"/>
  <c r="F141" i="28"/>
  <c r="E141" i="28"/>
  <c r="E139" i="28" s="1"/>
  <c r="E51" i="28" s="1"/>
  <c r="H136" i="28"/>
  <c r="H134" i="28" s="1"/>
  <c r="H26" i="28" s="1"/>
  <c r="G136" i="28"/>
  <c r="G134" i="28" s="1"/>
  <c r="G26" i="28" s="1"/>
  <c r="F136" i="28"/>
  <c r="E136" i="28"/>
  <c r="E134" i="28" s="1"/>
  <c r="E26" i="28" s="1"/>
  <c r="F135" i="28"/>
  <c r="E111" i="28"/>
  <c r="F111" i="28" s="1"/>
  <c r="G111" i="28" s="1"/>
  <c r="H111" i="28" s="1"/>
  <c r="H109" i="28" s="1"/>
  <c r="H25" i="28" s="1"/>
  <c r="E103" i="28"/>
  <c r="E64" i="28"/>
  <c r="H63" i="28"/>
  <c r="G63" i="28"/>
  <c r="F63" i="28"/>
  <c r="H43" i="28"/>
  <c r="G43" i="28"/>
  <c r="F43" i="28"/>
  <c r="E43" i="28"/>
  <c r="D42" i="28"/>
  <c r="D41" i="28"/>
  <c r="D40" i="28"/>
  <c r="D39" i="28"/>
  <c r="D38" i="28"/>
  <c r="H35" i="28"/>
  <c r="G35" i="28"/>
  <c r="F35" i="28"/>
  <c r="E35" i="28"/>
  <c r="D34" i="28"/>
  <c r="D33" i="28"/>
  <c r="D32" i="28"/>
  <c r="D31" i="28"/>
  <c r="D21" i="28"/>
  <c r="E20" i="28"/>
  <c r="F171" i="27"/>
  <c r="F151" i="27"/>
  <c r="H147" i="27"/>
  <c r="C176" i="27"/>
  <c r="H172" i="27"/>
  <c r="H170" i="27" s="1"/>
  <c r="G172" i="27"/>
  <c r="G170" i="27" s="1"/>
  <c r="F172" i="27"/>
  <c r="E170" i="27"/>
  <c r="H166" i="27"/>
  <c r="H165" i="27" s="1"/>
  <c r="G166" i="27"/>
  <c r="G165" i="27" s="1"/>
  <c r="F166" i="27"/>
  <c r="F165" i="27" s="1"/>
  <c r="E165" i="27"/>
  <c r="H163" i="27"/>
  <c r="G163" i="27"/>
  <c r="G161" i="27" s="1"/>
  <c r="F163" i="27"/>
  <c r="F161" i="27" s="1"/>
  <c r="E163" i="27"/>
  <c r="E161" i="27" s="1"/>
  <c r="H161" i="27"/>
  <c r="H159" i="27"/>
  <c r="G159" i="27"/>
  <c r="G157" i="27" s="1"/>
  <c r="F159" i="27"/>
  <c r="F157" i="27" s="1"/>
  <c r="E159" i="27"/>
  <c r="E157" i="27" s="1"/>
  <c r="H157" i="27"/>
  <c r="E153" i="27"/>
  <c r="G152" i="27"/>
  <c r="F152" i="27"/>
  <c r="G151" i="27"/>
  <c r="E150" i="27"/>
  <c r="G147" i="27"/>
  <c r="F147" i="27"/>
  <c r="E147" i="27"/>
  <c r="H145" i="27"/>
  <c r="G145" i="27"/>
  <c r="F145" i="27"/>
  <c r="E145" i="27"/>
  <c r="H143" i="27"/>
  <c r="G143" i="27"/>
  <c r="F143" i="27"/>
  <c r="E143" i="27"/>
  <c r="H141" i="27"/>
  <c r="G141" i="27"/>
  <c r="F141" i="27"/>
  <c r="F139" i="27" s="1"/>
  <c r="F51" i="27" s="1"/>
  <c r="E141" i="27"/>
  <c r="H136" i="27"/>
  <c r="H134" i="27" s="1"/>
  <c r="H26" i="27" s="1"/>
  <c r="G136" i="27"/>
  <c r="G134" i="27" s="1"/>
  <c r="G26" i="27" s="1"/>
  <c r="F136" i="27"/>
  <c r="E136" i="27"/>
  <c r="E134" i="27" s="1"/>
  <c r="E26" i="27" s="1"/>
  <c r="F135" i="27"/>
  <c r="E111" i="27"/>
  <c r="F111" i="27" s="1"/>
  <c r="E103" i="27"/>
  <c r="E20" i="27" s="1"/>
  <c r="E64" i="27"/>
  <c r="F64" i="27" s="1"/>
  <c r="H63" i="27"/>
  <c r="G63" i="27"/>
  <c r="F63" i="27"/>
  <c r="H43" i="27"/>
  <c r="G43" i="27"/>
  <c r="F43" i="27"/>
  <c r="E43" i="27"/>
  <c r="D42" i="27"/>
  <c r="D41" i="27"/>
  <c r="D40" i="27"/>
  <c r="D39" i="27"/>
  <c r="D38" i="27"/>
  <c r="H35" i="27"/>
  <c r="G35" i="27"/>
  <c r="F35" i="27"/>
  <c r="E35" i="27"/>
  <c r="D34" i="27"/>
  <c r="D33" i="27"/>
  <c r="D32" i="27"/>
  <c r="D31" i="27"/>
  <c r="D21" i="27"/>
  <c r="C176" i="26"/>
  <c r="H172" i="26"/>
  <c r="H170" i="26" s="1"/>
  <c r="G172" i="26"/>
  <c r="G170" i="26" s="1"/>
  <c r="F172" i="26"/>
  <c r="E170" i="26"/>
  <c r="H166" i="26"/>
  <c r="H165" i="26" s="1"/>
  <c r="G166" i="26"/>
  <c r="G165" i="26" s="1"/>
  <c r="F166" i="26"/>
  <c r="F165" i="26" s="1"/>
  <c r="E165" i="26"/>
  <c r="H163" i="26"/>
  <c r="G163" i="26"/>
  <c r="G161" i="26" s="1"/>
  <c r="F163" i="26"/>
  <c r="F161" i="26" s="1"/>
  <c r="E163" i="26"/>
  <c r="E161" i="26" s="1"/>
  <c r="H161" i="26"/>
  <c r="H159" i="26"/>
  <c r="H157" i="26" s="1"/>
  <c r="G159" i="26"/>
  <c r="G157" i="26" s="1"/>
  <c r="F159" i="26"/>
  <c r="F157" i="26" s="1"/>
  <c r="E159" i="26"/>
  <c r="E157" i="26" s="1"/>
  <c r="E153" i="26"/>
  <c r="G152" i="26"/>
  <c r="F152" i="26"/>
  <c r="E150" i="26"/>
  <c r="H147" i="26"/>
  <c r="G147" i="26"/>
  <c r="F147" i="26"/>
  <c r="E147" i="26"/>
  <c r="H145" i="26"/>
  <c r="H139" i="26" s="1"/>
  <c r="H51" i="26" s="1"/>
  <c r="G145" i="26"/>
  <c r="F145" i="26"/>
  <c r="E145" i="26"/>
  <c r="H143" i="26"/>
  <c r="G143" i="26"/>
  <c r="F143" i="26"/>
  <c r="E143" i="26"/>
  <c r="H141" i="26"/>
  <c r="G141" i="26"/>
  <c r="F141" i="26"/>
  <c r="E141" i="26"/>
  <c r="H136" i="26"/>
  <c r="H134" i="26" s="1"/>
  <c r="H26" i="26" s="1"/>
  <c r="G136" i="26"/>
  <c r="G134" i="26" s="1"/>
  <c r="G26" i="26" s="1"/>
  <c r="F136" i="26"/>
  <c r="E136" i="26"/>
  <c r="E134" i="26" s="1"/>
  <c r="E26" i="26" s="1"/>
  <c r="F135" i="26"/>
  <c r="E111" i="26"/>
  <c r="E109" i="26" s="1"/>
  <c r="E25" i="26" s="1"/>
  <c r="H105" i="26"/>
  <c r="G105" i="26"/>
  <c r="F105" i="26"/>
  <c r="E103" i="26"/>
  <c r="E20" i="26" s="1"/>
  <c r="E22" i="26" s="1"/>
  <c r="E64" i="26"/>
  <c r="F64" i="26" s="1"/>
  <c r="G64" i="26" s="1"/>
  <c r="H64" i="26" s="1"/>
  <c r="H63" i="26"/>
  <c r="G63" i="26"/>
  <c r="F63" i="26"/>
  <c r="H43" i="26"/>
  <c r="G43" i="26"/>
  <c r="F43" i="26"/>
  <c r="E43" i="26"/>
  <c r="D42" i="26"/>
  <c r="D41" i="26"/>
  <c r="D40" i="26"/>
  <c r="D39" i="26"/>
  <c r="D38" i="26"/>
  <c r="H35" i="26"/>
  <c r="G35" i="26"/>
  <c r="F35" i="26"/>
  <c r="E35" i="26"/>
  <c r="D34" i="26"/>
  <c r="D33" i="26"/>
  <c r="D32" i="26"/>
  <c r="D31" i="26"/>
  <c r="D21" i="26"/>
  <c r="F151" i="25"/>
  <c r="G151" i="25"/>
  <c r="C176" i="25"/>
  <c r="H172" i="25"/>
  <c r="H170" i="25" s="1"/>
  <c r="G172" i="25"/>
  <c r="G170" i="25" s="1"/>
  <c r="F172" i="25"/>
  <c r="F171" i="25"/>
  <c r="E170" i="25"/>
  <c r="H166" i="25"/>
  <c r="H165" i="25" s="1"/>
  <c r="G166" i="25"/>
  <c r="G165" i="25" s="1"/>
  <c r="F166" i="25"/>
  <c r="F165" i="25" s="1"/>
  <c r="E165" i="25"/>
  <c r="H163" i="25"/>
  <c r="G163" i="25"/>
  <c r="G161" i="25" s="1"/>
  <c r="F163" i="25"/>
  <c r="F161" i="25" s="1"/>
  <c r="E163" i="25"/>
  <c r="H161" i="25"/>
  <c r="E161" i="25"/>
  <c r="H159" i="25"/>
  <c r="H157" i="25" s="1"/>
  <c r="G159" i="25"/>
  <c r="G157" i="25" s="1"/>
  <c r="F159" i="25"/>
  <c r="F157" i="25" s="1"/>
  <c r="E159" i="25"/>
  <c r="E157" i="25" s="1"/>
  <c r="E153" i="25"/>
  <c r="G152" i="25"/>
  <c r="F152" i="25"/>
  <c r="E150" i="25"/>
  <c r="H147" i="25"/>
  <c r="G147" i="25"/>
  <c r="F147" i="25"/>
  <c r="E147" i="25"/>
  <c r="H145" i="25"/>
  <c r="G145" i="25"/>
  <c r="F145" i="25"/>
  <c r="E145" i="25"/>
  <c r="H143" i="25"/>
  <c r="G143" i="25"/>
  <c r="F143" i="25"/>
  <c r="E143" i="25"/>
  <c r="H141" i="25"/>
  <c r="H139" i="25" s="1"/>
  <c r="H51" i="25" s="1"/>
  <c r="G141" i="25"/>
  <c r="F141" i="25"/>
  <c r="E141" i="25"/>
  <c r="E139" i="25" s="1"/>
  <c r="E51" i="25" s="1"/>
  <c r="G139" i="25"/>
  <c r="G51" i="25" s="1"/>
  <c r="F139" i="25"/>
  <c r="F51" i="25" s="1"/>
  <c r="H136" i="25"/>
  <c r="H134" i="25" s="1"/>
  <c r="H26" i="25" s="1"/>
  <c r="G136" i="25"/>
  <c r="F136" i="25"/>
  <c r="E136" i="25"/>
  <c r="E134" i="25" s="1"/>
  <c r="E26" i="25" s="1"/>
  <c r="F135" i="25"/>
  <c r="G134" i="25"/>
  <c r="G26" i="25" s="1"/>
  <c r="E111" i="25"/>
  <c r="F111" i="25" s="1"/>
  <c r="F109" i="25" s="1"/>
  <c r="F25" i="25" s="1"/>
  <c r="H105" i="25"/>
  <c r="G105" i="25"/>
  <c r="F105" i="25"/>
  <c r="E103" i="25"/>
  <c r="E20" i="25" s="1"/>
  <c r="E64" i="25"/>
  <c r="H63" i="25"/>
  <c r="G63" i="25"/>
  <c r="F63" i="25"/>
  <c r="H43" i="25"/>
  <c r="G43" i="25"/>
  <c r="F43" i="25"/>
  <c r="E43" i="25"/>
  <c r="D42" i="25"/>
  <c r="D41" i="25"/>
  <c r="D40" i="25"/>
  <c r="D39" i="25"/>
  <c r="D38" i="25"/>
  <c r="H35" i="25"/>
  <c r="G35" i="25"/>
  <c r="F35" i="25"/>
  <c r="E35" i="25"/>
  <c r="D34" i="25"/>
  <c r="D33" i="25"/>
  <c r="D32" i="25"/>
  <c r="D31" i="25"/>
  <c r="D21" i="25"/>
  <c r="F135" i="24"/>
  <c r="F173" i="24"/>
  <c r="F171" i="24"/>
  <c r="F151" i="24"/>
  <c r="F136" i="24"/>
  <c r="G136" i="24"/>
  <c r="G134" i="24" s="1"/>
  <c r="G26" i="24" s="1"/>
  <c r="H136" i="24"/>
  <c r="H134" i="24" s="1"/>
  <c r="H26" i="24" s="1"/>
  <c r="E136" i="24"/>
  <c r="E134" i="24" s="1"/>
  <c r="E26" i="24" s="1"/>
  <c r="C176" i="24"/>
  <c r="H172" i="24"/>
  <c r="H170" i="24" s="1"/>
  <c r="G172" i="24"/>
  <c r="G170" i="24" s="1"/>
  <c r="F172" i="24"/>
  <c r="E170" i="24"/>
  <c r="H166" i="24"/>
  <c r="H165" i="24" s="1"/>
  <c r="G166" i="24"/>
  <c r="G165" i="24" s="1"/>
  <c r="F166" i="24"/>
  <c r="F165" i="24" s="1"/>
  <c r="E165" i="24"/>
  <c r="H163" i="24"/>
  <c r="G163" i="24"/>
  <c r="G161" i="24" s="1"/>
  <c r="F163" i="24"/>
  <c r="F161" i="24" s="1"/>
  <c r="E163" i="24"/>
  <c r="E161" i="24" s="1"/>
  <c r="H161" i="24"/>
  <c r="H159" i="24"/>
  <c r="G159" i="24"/>
  <c r="G157" i="24" s="1"/>
  <c r="F159" i="24"/>
  <c r="F157" i="24" s="1"/>
  <c r="E159" i="24"/>
  <c r="E157" i="24" s="1"/>
  <c r="H157" i="24"/>
  <c r="E153" i="24"/>
  <c r="G152" i="24"/>
  <c r="F152" i="24"/>
  <c r="G151" i="24"/>
  <c r="E150" i="24"/>
  <c r="H147" i="24"/>
  <c r="G147" i="24"/>
  <c r="F147" i="24"/>
  <c r="E147" i="24"/>
  <c r="H145" i="24"/>
  <c r="G145" i="24"/>
  <c r="F145" i="24"/>
  <c r="E145" i="24"/>
  <c r="H143" i="24"/>
  <c r="G143" i="24"/>
  <c r="F143" i="24"/>
  <c r="E143" i="24"/>
  <c r="H141" i="24"/>
  <c r="G141" i="24"/>
  <c r="F141" i="24"/>
  <c r="F139" i="24" s="1"/>
  <c r="F51" i="24" s="1"/>
  <c r="E141" i="24"/>
  <c r="H139" i="24"/>
  <c r="H51" i="24" s="1"/>
  <c r="G139" i="24"/>
  <c r="G51" i="24" s="1"/>
  <c r="E111" i="24"/>
  <c r="F111" i="24" s="1"/>
  <c r="H105" i="24"/>
  <c r="G105" i="24"/>
  <c r="F105" i="24"/>
  <c r="E103" i="24"/>
  <c r="E64" i="24"/>
  <c r="F64" i="24" s="1"/>
  <c r="H63" i="24"/>
  <c r="G63" i="24"/>
  <c r="F63" i="24"/>
  <c r="E61" i="24"/>
  <c r="H43" i="24"/>
  <c r="G43" i="24"/>
  <c r="F43" i="24"/>
  <c r="E43" i="24"/>
  <c r="D42" i="24"/>
  <c r="D41" i="24"/>
  <c r="D40" i="24"/>
  <c r="D39" i="24"/>
  <c r="D38" i="24"/>
  <c r="H35" i="24"/>
  <c r="G35" i="24"/>
  <c r="F35" i="24"/>
  <c r="E35" i="24"/>
  <c r="D34" i="24"/>
  <c r="D33" i="24"/>
  <c r="D32" i="24"/>
  <c r="D31" i="24"/>
  <c r="D21" i="24"/>
  <c r="E20" i="24"/>
  <c r="E22" i="24" s="1"/>
  <c r="C176" i="21"/>
  <c r="F135" i="21"/>
  <c r="H172" i="21"/>
  <c r="H170" i="21" s="1"/>
  <c r="G172" i="21"/>
  <c r="F172" i="21"/>
  <c r="F171" i="21"/>
  <c r="G170" i="21"/>
  <c r="E170" i="21"/>
  <c r="H166" i="21"/>
  <c r="H165" i="21" s="1"/>
  <c r="G166" i="21"/>
  <c r="G165" i="21" s="1"/>
  <c r="F166" i="21"/>
  <c r="F165" i="21" s="1"/>
  <c r="E165" i="21"/>
  <c r="H163" i="21"/>
  <c r="H161" i="21" s="1"/>
  <c r="G163" i="21"/>
  <c r="G161" i="21" s="1"/>
  <c r="F163" i="21"/>
  <c r="E163" i="21"/>
  <c r="E161" i="21" s="1"/>
  <c r="F161" i="21"/>
  <c r="H159" i="21"/>
  <c r="G159" i="21"/>
  <c r="F159" i="21"/>
  <c r="F157" i="21" s="1"/>
  <c r="E159" i="21"/>
  <c r="E157" i="21" s="1"/>
  <c r="H157" i="21"/>
  <c r="G157" i="21"/>
  <c r="E153" i="21"/>
  <c r="G152" i="21"/>
  <c r="F152" i="21"/>
  <c r="G151" i="21"/>
  <c r="F151" i="21"/>
  <c r="E150" i="21"/>
  <c r="H147" i="21"/>
  <c r="G147" i="21"/>
  <c r="F147" i="21"/>
  <c r="E147" i="21"/>
  <c r="H145" i="21"/>
  <c r="G145" i="21"/>
  <c r="F145" i="21"/>
  <c r="E145" i="21"/>
  <c r="H143" i="21"/>
  <c r="G143" i="21"/>
  <c r="F143" i="21"/>
  <c r="E143" i="21"/>
  <c r="H141" i="21"/>
  <c r="G141" i="21"/>
  <c r="F141" i="21"/>
  <c r="E141" i="21"/>
  <c r="H136" i="21"/>
  <c r="H134" i="21" s="1"/>
  <c r="H26" i="21" s="1"/>
  <c r="G136" i="21"/>
  <c r="G134" i="21" s="1"/>
  <c r="G26" i="21" s="1"/>
  <c r="F136" i="21"/>
  <c r="E136" i="21"/>
  <c r="E134" i="21" s="1"/>
  <c r="E26" i="21" s="1"/>
  <c r="E111" i="21"/>
  <c r="F111" i="21" s="1"/>
  <c r="H105" i="21"/>
  <c r="G105" i="21"/>
  <c r="F105" i="21"/>
  <c r="E103" i="21"/>
  <c r="E20" i="21" s="1"/>
  <c r="E64" i="21"/>
  <c r="F64" i="21" s="1"/>
  <c r="G64" i="21" s="1"/>
  <c r="H64" i="21" s="1"/>
  <c r="H63" i="21"/>
  <c r="G63" i="21"/>
  <c r="F63" i="21"/>
  <c r="E61" i="21"/>
  <c r="H43" i="21"/>
  <c r="G43" i="21"/>
  <c r="F43" i="21"/>
  <c r="E43" i="21"/>
  <c r="D42" i="21"/>
  <c r="D41" i="21"/>
  <c r="D40" i="21"/>
  <c r="D39" i="21"/>
  <c r="D38" i="21"/>
  <c r="H35" i="21"/>
  <c r="G35" i="21"/>
  <c r="F35" i="21"/>
  <c r="E35" i="21"/>
  <c r="D34" i="21"/>
  <c r="D33" i="21"/>
  <c r="D32" i="21"/>
  <c r="D31" i="21"/>
  <c r="D21" i="21"/>
  <c r="E139" i="24" l="1"/>
  <c r="E51" i="24" s="1"/>
  <c r="H156" i="25"/>
  <c r="G154" i="30"/>
  <c r="G139" i="29"/>
  <c r="G51" i="29" s="1"/>
  <c r="E154" i="30"/>
  <c r="E137" i="30"/>
  <c r="E47" i="30" s="1"/>
  <c r="H156" i="28"/>
  <c r="F137" i="30"/>
  <c r="F47" i="30" s="1"/>
  <c r="G154" i="31"/>
  <c r="G156" i="25"/>
  <c r="E139" i="27"/>
  <c r="E51" i="27" s="1"/>
  <c r="E156" i="28"/>
  <c r="G137" i="30"/>
  <c r="G47" i="30" s="1"/>
  <c r="G154" i="34"/>
  <c r="E233" i="36"/>
  <c r="E57" i="36" s="1"/>
  <c r="F154" i="30"/>
  <c r="E139" i="21"/>
  <c r="E51" i="21" s="1"/>
  <c r="F156" i="28"/>
  <c r="F139" i="21"/>
  <c r="F51" i="21" s="1"/>
  <c r="E139" i="26"/>
  <c r="E51" i="26" s="1"/>
  <c r="G139" i="27"/>
  <c r="G51" i="27" s="1"/>
  <c r="F139" i="28"/>
  <c r="F51" i="28" s="1"/>
  <c r="D51" i="28" s="1"/>
  <c r="G156" i="28"/>
  <c r="E137" i="32"/>
  <c r="E47" i="32" s="1"/>
  <c r="E154" i="34"/>
  <c r="G139" i="21"/>
  <c r="G51" i="21" s="1"/>
  <c r="F139" i="26"/>
  <c r="F51" i="26" s="1"/>
  <c r="D51" i="26" s="1"/>
  <c r="G139" i="28"/>
  <c r="G51" i="28" s="1"/>
  <c r="H233" i="36"/>
  <c r="H57" i="36" s="1"/>
  <c r="E156" i="25"/>
  <c r="G139" i="26"/>
  <c r="G51" i="26" s="1"/>
  <c r="H139" i="28"/>
  <c r="H51" i="28" s="1"/>
  <c r="F156" i="25"/>
  <c r="H154" i="33"/>
  <c r="G156" i="26"/>
  <c r="H156" i="27"/>
  <c r="G154" i="35"/>
  <c r="F156" i="24"/>
  <c r="E156" i="27"/>
  <c r="E149" i="27" s="1"/>
  <c r="E50" i="27" s="1"/>
  <c r="E52" i="27" s="1"/>
  <c r="G156" i="29"/>
  <c r="H154" i="35"/>
  <c r="F61" i="26"/>
  <c r="H156" i="26"/>
  <c r="H154" i="34"/>
  <c r="F154" i="35"/>
  <c r="E156" i="24"/>
  <c r="E149" i="24" s="1"/>
  <c r="E50" i="24" s="1"/>
  <c r="E52" i="24" s="1"/>
  <c r="H156" i="24"/>
  <c r="E154" i="35"/>
  <c r="E147" i="35" s="1"/>
  <c r="E46" i="35" s="1"/>
  <c r="E48" i="35" s="1"/>
  <c r="H137" i="30"/>
  <c r="H47" i="30" s="1"/>
  <c r="H156" i="29"/>
  <c r="G156" i="24"/>
  <c r="E156" i="29"/>
  <c r="F175" i="36"/>
  <c r="F174" i="36"/>
  <c r="F40" i="36" s="1"/>
  <c r="E174" i="36"/>
  <c r="E175" i="36"/>
  <c r="E160" i="40"/>
  <c r="E39" i="40" s="1"/>
  <c r="E43" i="40" s="1"/>
  <c r="D13" i="40"/>
  <c r="F156" i="27"/>
  <c r="F200" i="40"/>
  <c r="G155" i="40"/>
  <c r="H155" i="40" s="1"/>
  <c r="G154" i="40"/>
  <c r="F38" i="40" s="1"/>
  <c r="H157" i="40"/>
  <c r="H154" i="40" s="1"/>
  <c r="G38" i="40" s="1"/>
  <c r="H154" i="31"/>
  <c r="F156" i="26"/>
  <c r="E156" i="26"/>
  <c r="E149" i="26" s="1"/>
  <c r="E50" i="26" s="1"/>
  <c r="F230" i="36"/>
  <c r="F228" i="36"/>
  <c r="G228" i="36"/>
  <c r="G230" i="36"/>
  <c r="G225" i="36" s="1"/>
  <c r="G52" i="36" s="1"/>
  <c r="F168" i="31"/>
  <c r="F137" i="32"/>
  <c r="F47" i="32" s="1"/>
  <c r="H228" i="36"/>
  <c r="H230" i="36"/>
  <c r="E230" i="36"/>
  <c r="E228" i="36"/>
  <c r="D10" i="40"/>
  <c r="E8" i="40"/>
  <c r="D10" i="36"/>
  <c r="G156" i="27"/>
  <c r="E147" i="33"/>
  <c r="E46" i="33" s="1"/>
  <c r="E48" i="33" s="1"/>
  <c r="E147" i="32"/>
  <c r="E46" i="32" s="1"/>
  <c r="E48" i="32" s="1"/>
  <c r="E147" i="31"/>
  <c r="E46" i="31" s="1"/>
  <c r="E48" i="31" s="1"/>
  <c r="E149" i="28"/>
  <c r="E50" i="28" s="1"/>
  <c r="E52" i="28" s="1"/>
  <c r="D35" i="30"/>
  <c r="F170" i="26"/>
  <c r="D35" i="25"/>
  <c r="D43" i="25"/>
  <c r="E149" i="25"/>
  <c r="E50" i="25" s="1"/>
  <c r="E52" i="25" s="1"/>
  <c r="H61" i="21"/>
  <c r="H139" i="21"/>
  <c r="H51" i="21" s="1"/>
  <c r="D51" i="21" s="1"/>
  <c r="H156" i="21"/>
  <c r="D43" i="24"/>
  <c r="D35" i="32"/>
  <c r="D43" i="32"/>
  <c r="D35" i="31"/>
  <c r="D35" i="29"/>
  <c r="D35" i="28"/>
  <c r="D43" i="28"/>
  <c r="D35" i="27"/>
  <c r="D43" i="27"/>
  <c r="D43" i="26"/>
  <c r="D43" i="21"/>
  <c r="G156" i="21"/>
  <c r="H139" i="27"/>
  <c r="H51" i="27" s="1"/>
  <c r="D51" i="27" s="1"/>
  <c r="F134" i="29"/>
  <c r="F26" i="29" s="1"/>
  <c r="D26" i="29" s="1"/>
  <c r="F156" i="21"/>
  <c r="E107" i="31"/>
  <c r="E25" i="31" s="1"/>
  <c r="E28" i="31" s="1"/>
  <c r="E107" i="33"/>
  <c r="E25" i="33" s="1"/>
  <c r="E28" i="33" s="1"/>
  <c r="F170" i="24"/>
  <c r="F134" i="24"/>
  <c r="F26" i="24" s="1"/>
  <c r="D26" i="24" s="1"/>
  <c r="F170" i="25"/>
  <c r="F132" i="32"/>
  <c r="F26" i="32" s="1"/>
  <c r="D26" i="32" s="1"/>
  <c r="F168" i="34"/>
  <c r="E156" i="21"/>
  <c r="E149" i="21" s="1"/>
  <c r="E50" i="21" s="1"/>
  <c r="E52" i="21" s="1"/>
  <c r="F170" i="21"/>
  <c r="E109" i="27"/>
  <c r="E25" i="27" s="1"/>
  <c r="E28" i="27" s="1"/>
  <c r="F132" i="31"/>
  <c r="F26" i="31" s="1"/>
  <c r="F28" i="31" s="1"/>
  <c r="E107" i="32"/>
  <c r="E25" i="32" s="1"/>
  <c r="E28" i="32" s="1"/>
  <c r="E107" i="35"/>
  <c r="E25" i="35" s="1"/>
  <c r="E28" i="35" s="1"/>
  <c r="F132" i="35"/>
  <c r="F128" i="35" s="1"/>
  <c r="F26" i="35" s="1"/>
  <c r="D26" i="35" s="1"/>
  <c r="H28" i="28"/>
  <c r="F132" i="34"/>
  <c r="F26" i="34" s="1"/>
  <c r="D26" i="34" s="1"/>
  <c r="F168" i="35"/>
  <c r="E109" i="25"/>
  <c r="E25" i="25" s="1"/>
  <c r="E28" i="25" s="1"/>
  <c r="F134" i="27"/>
  <c r="F26" i="27" s="1"/>
  <c r="D26" i="27" s="1"/>
  <c r="F170" i="28"/>
  <c r="F170" i="29"/>
  <c r="F132" i="33"/>
  <c r="F26" i="33" s="1"/>
  <c r="D26" i="33" s="1"/>
  <c r="F48" i="46"/>
  <c r="D43" i="46"/>
  <c r="D48" i="46" s="1"/>
  <c r="G200" i="40"/>
  <c r="H200" i="40"/>
  <c r="F177" i="40"/>
  <c r="F175" i="40" s="1"/>
  <c r="F40" i="40" s="1"/>
  <c r="F166" i="40"/>
  <c r="F164" i="40" s="1"/>
  <c r="F160" i="40" s="1"/>
  <c r="G197" i="36"/>
  <c r="G195" i="36" s="1"/>
  <c r="G42" i="36" s="1"/>
  <c r="H197" i="36"/>
  <c r="H195" i="36" s="1"/>
  <c r="H42" i="36" s="1"/>
  <c r="G233" i="36"/>
  <c r="G57" i="36" s="1"/>
  <c r="E109" i="29"/>
  <c r="E25" i="29" s="1"/>
  <c r="E28" i="29" s="1"/>
  <c r="F111" i="29"/>
  <c r="G111" i="29" s="1"/>
  <c r="H111" i="29" s="1"/>
  <c r="H109" i="29" s="1"/>
  <c r="H25" i="29" s="1"/>
  <c r="H28" i="29" s="1"/>
  <c r="F111" i="26"/>
  <c r="G111" i="26" s="1"/>
  <c r="H111" i="26" s="1"/>
  <c r="H109" i="26" s="1"/>
  <c r="H25" i="26" s="1"/>
  <c r="H28" i="26" s="1"/>
  <c r="E109" i="28"/>
  <c r="E25" i="28" s="1"/>
  <c r="E28" i="28" s="1"/>
  <c r="F134" i="28"/>
  <c r="F26" i="28" s="1"/>
  <c r="D26" i="28" s="1"/>
  <c r="D51" i="29"/>
  <c r="D51" i="24"/>
  <c r="F134" i="26"/>
  <c r="F26" i="26" s="1"/>
  <c r="D26" i="26" s="1"/>
  <c r="F170" i="27"/>
  <c r="E149" i="29"/>
  <c r="E50" i="29" s="1"/>
  <c r="E52" i="29" s="1"/>
  <c r="D47" i="34"/>
  <c r="F134" i="21"/>
  <c r="F26" i="21" s="1"/>
  <c r="D26" i="21" s="1"/>
  <c r="F168" i="30"/>
  <c r="F168" i="32"/>
  <c r="F168" i="33"/>
  <c r="H113" i="39"/>
  <c r="H111" i="39" s="1"/>
  <c r="H25" i="39" s="1"/>
  <c r="H28" i="39" s="1"/>
  <c r="G111" i="39"/>
  <c r="G25" i="39" s="1"/>
  <c r="G28" i="39" s="1"/>
  <c r="F114" i="36"/>
  <c r="F119" i="36"/>
  <c r="E128" i="36"/>
  <c r="E114" i="36"/>
  <c r="E119" i="36"/>
  <c r="G119" i="36"/>
  <c r="G114" i="36"/>
  <c r="H90" i="36"/>
  <c r="H119" i="36"/>
  <c r="H114" i="36"/>
  <c r="E250" i="36"/>
  <c r="E243" i="36" s="1"/>
  <c r="E56" i="36" s="1"/>
  <c r="E58" i="36" s="1"/>
  <c r="F250" i="36"/>
  <c r="H250" i="36"/>
  <c r="G250" i="36"/>
  <c r="F128" i="36"/>
  <c r="G128" i="36"/>
  <c r="G86" i="36"/>
  <c r="F124" i="36"/>
  <c r="F264" i="36"/>
  <c r="F211" i="36"/>
  <c r="F35" i="36" s="1"/>
  <c r="D35" i="36" s="1"/>
  <c r="G124" i="36"/>
  <c r="E169" i="36"/>
  <c r="E34" i="36" s="1"/>
  <c r="E37" i="36" s="1"/>
  <c r="H86" i="36"/>
  <c r="H124" i="36"/>
  <c r="H122" i="36" s="1"/>
  <c r="H14" i="36" s="1"/>
  <c r="G90" i="36"/>
  <c r="F90" i="36"/>
  <c r="F86" i="36"/>
  <c r="E86" i="36"/>
  <c r="E90" i="36"/>
  <c r="E124" i="36"/>
  <c r="G171" i="36"/>
  <c r="F169" i="36"/>
  <c r="F34" i="36" s="1"/>
  <c r="F70" i="36"/>
  <c r="G70" i="36" s="1"/>
  <c r="E197" i="36"/>
  <c r="E195" i="36" s="1"/>
  <c r="E42" i="36" s="1"/>
  <c r="E186" i="36"/>
  <c r="E184" i="36" s="1"/>
  <c r="E181" i="36"/>
  <c r="D47" i="35"/>
  <c r="D40" i="35"/>
  <c r="D43" i="35" s="1"/>
  <c r="D32" i="35"/>
  <c r="D35" i="35" s="1"/>
  <c r="H109" i="35"/>
  <c r="H107" i="35" s="1"/>
  <c r="H25" i="35" s="1"/>
  <c r="H28" i="35" s="1"/>
  <c r="G107" i="35"/>
  <c r="G25" i="35" s="1"/>
  <c r="G28" i="35" s="1"/>
  <c r="E43" i="35"/>
  <c r="F107" i="35"/>
  <c r="F25" i="35" s="1"/>
  <c r="E35" i="33"/>
  <c r="D32" i="33"/>
  <c r="D35" i="33" s="1"/>
  <c r="E28" i="34"/>
  <c r="E35" i="34"/>
  <c r="D32" i="34"/>
  <c r="D35" i="34" s="1"/>
  <c r="F109" i="34"/>
  <c r="E22" i="34"/>
  <c r="E147" i="34"/>
  <c r="E46" i="34" s="1"/>
  <c r="G109" i="33"/>
  <c r="F107" i="33"/>
  <c r="F25" i="33" s="1"/>
  <c r="D47" i="33"/>
  <c r="D47" i="32"/>
  <c r="G109" i="32"/>
  <c r="F107" i="32"/>
  <c r="F25" i="32" s="1"/>
  <c r="D47" i="31"/>
  <c r="D43" i="31"/>
  <c r="G109" i="31"/>
  <c r="E22" i="31"/>
  <c r="D43" i="30"/>
  <c r="E107" i="30"/>
  <c r="E25" i="30" s="1"/>
  <c r="E28" i="30" s="1"/>
  <c r="E147" i="30"/>
  <c r="E46" i="30" s="1"/>
  <c r="E48" i="30" s="1"/>
  <c r="D26" i="30"/>
  <c r="H154" i="30"/>
  <c r="D47" i="30"/>
  <c r="F107" i="30"/>
  <c r="F25" i="30" s="1"/>
  <c r="F28" i="30" s="1"/>
  <c r="G109" i="30"/>
  <c r="E22" i="30"/>
  <c r="D43" i="29"/>
  <c r="F64" i="29"/>
  <c r="G64" i="29" s="1"/>
  <c r="E61" i="29"/>
  <c r="E22" i="29"/>
  <c r="F109" i="28"/>
  <c r="F25" i="28" s="1"/>
  <c r="F64" i="28"/>
  <c r="G64" i="28" s="1"/>
  <c r="E61" i="28"/>
  <c r="E22" i="28"/>
  <c r="G109" i="28"/>
  <c r="G25" i="28" s="1"/>
  <c r="G28" i="28" s="1"/>
  <c r="E22" i="27"/>
  <c r="G64" i="27"/>
  <c r="F61" i="27"/>
  <c r="G111" i="27"/>
  <c r="F109" i="27"/>
  <c r="F25" i="27" s="1"/>
  <c r="G64" i="24"/>
  <c r="H64" i="24" s="1"/>
  <c r="H61" i="24" s="1"/>
  <c r="F61" i="24"/>
  <c r="G61" i="26"/>
  <c r="E61" i="27"/>
  <c r="E28" i="26"/>
  <c r="D35" i="26"/>
  <c r="H61" i="26"/>
  <c r="E61" i="26"/>
  <c r="E22" i="25"/>
  <c r="D51" i="25"/>
  <c r="G111" i="25"/>
  <c r="F64" i="25"/>
  <c r="G64" i="25" s="1"/>
  <c r="E61" i="25"/>
  <c r="F134" i="25"/>
  <c r="F26" i="25" s="1"/>
  <c r="D26" i="25" s="1"/>
  <c r="G111" i="24"/>
  <c r="F109" i="24"/>
  <c r="F25" i="24" s="1"/>
  <c r="E109" i="24"/>
  <c r="E25" i="24" s="1"/>
  <c r="D35" i="24"/>
  <c r="D35" i="21"/>
  <c r="E109" i="21"/>
  <c r="E25" i="21" s="1"/>
  <c r="E28" i="21" s="1"/>
  <c r="G61" i="21"/>
  <c r="E22" i="21"/>
  <c r="F109" i="21"/>
  <c r="F25" i="21" s="1"/>
  <c r="G111" i="21"/>
  <c r="F61" i="21"/>
  <c r="F175" i="20"/>
  <c r="F36" i="20"/>
  <c r="G36" i="20"/>
  <c r="H36" i="20"/>
  <c r="F190" i="20"/>
  <c r="F188" i="20" s="1"/>
  <c r="F48" i="20" s="1"/>
  <c r="G190" i="20"/>
  <c r="G188" i="20" s="1"/>
  <c r="G48" i="20" s="1"/>
  <c r="H190" i="20"/>
  <c r="H188" i="20" s="1"/>
  <c r="H48" i="20" s="1"/>
  <c r="E190" i="20"/>
  <c r="E188" i="20" s="1"/>
  <c r="D57" i="36" l="1"/>
  <c r="E52" i="26"/>
  <c r="E180" i="36"/>
  <c r="E41" i="36" s="1"/>
  <c r="G85" i="36"/>
  <c r="G9" i="36" s="1"/>
  <c r="D8" i="40"/>
  <c r="E225" i="36"/>
  <c r="E52" i="36" s="1"/>
  <c r="D38" i="40"/>
  <c r="H225" i="36"/>
  <c r="H52" i="36" s="1"/>
  <c r="F225" i="36"/>
  <c r="F52" i="36" s="1"/>
  <c r="G109" i="29"/>
  <c r="G25" i="29" s="1"/>
  <c r="G28" i="29" s="1"/>
  <c r="F28" i="24"/>
  <c r="F109" i="26"/>
  <c r="F25" i="26" s="1"/>
  <c r="F28" i="26" s="1"/>
  <c r="G109" i="26"/>
  <c r="G25" i="26" s="1"/>
  <c r="G28" i="26" s="1"/>
  <c r="F28" i="28"/>
  <c r="F28" i="27"/>
  <c r="F28" i="21"/>
  <c r="H178" i="45"/>
  <c r="H46" i="45" s="1"/>
  <c r="H47" i="45" s="1"/>
  <c r="G178" i="45"/>
  <c r="G46" i="45" s="1"/>
  <c r="G47" i="45" s="1"/>
  <c r="F178" i="45"/>
  <c r="F46" i="45" s="1"/>
  <c r="F47" i="45" s="1"/>
  <c r="E178" i="45"/>
  <c r="E46" i="45" s="1"/>
  <c r="F61" i="29"/>
  <c r="F39" i="40"/>
  <c r="F43" i="40" s="1"/>
  <c r="E205" i="40"/>
  <c r="E49" i="40" s="1"/>
  <c r="E202" i="40"/>
  <c r="E203" i="40"/>
  <c r="E47" i="40" s="1"/>
  <c r="E204" i="40"/>
  <c r="E48" i="40" s="1"/>
  <c r="H205" i="40"/>
  <c r="H49" i="40" s="1"/>
  <c r="H204" i="40"/>
  <c r="H48" i="40" s="1"/>
  <c r="H203" i="40"/>
  <c r="H47" i="40" s="1"/>
  <c r="H202" i="40"/>
  <c r="G177" i="40"/>
  <c r="G175" i="40" s="1"/>
  <c r="G40" i="40" s="1"/>
  <c r="G161" i="40"/>
  <c r="G164" i="40"/>
  <c r="F202" i="40"/>
  <c r="F203" i="40"/>
  <c r="F47" i="40" s="1"/>
  <c r="F204" i="40"/>
  <c r="F48" i="40" s="1"/>
  <c r="F205" i="40"/>
  <c r="F49" i="40" s="1"/>
  <c r="G203" i="40"/>
  <c r="G47" i="40" s="1"/>
  <c r="G204" i="40"/>
  <c r="G48" i="40" s="1"/>
  <c r="G205" i="40"/>
  <c r="G49" i="40" s="1"/>
  <c r="G202" i="40"/>
  <c r="H85" i="36"/>
  <c r="F109" i="29"/>
  <c r="F25" i="29" s="1"/>
  <c r="D25" i="39"/>
  <c r="D28" i="39" s="1"/>
  <c r="E110" i="36"/>
  <c r="E13" i="36" s="1"/>
  <c r="E85" i="36"/>
  <c r="E9" i="36" s="1"/>
  <c r="H134" i="36"/>
  <c r="H15" i="36" s="1"/>
  <c r="D15" i="36" s="1"/>
  <c r="G110" i="36"/>
  <c r="G13" i="36" s="1"/>
  <c r="H110" i="36"/>
  <c r="H13" i="36" s="1"/>
  <c r="E122" i="36"/>
  <c r="E14" i="36" s="1"/>
  <c r="F110" i="36"/>
  <c r="F13" i="36" s="1"/>
  <c r="G122" i="36"/>
  <c r="G14" i="36" s="1"/>
  <c r="F122" i="36"/>
  <c r="F14" i="36" s="1"/>
  <c r="F37" i="36"/>
  <c r="F85" i="36"/>
  <c r="G67" i="36"/>
  <c r="H70" i="36"/>
  <c r="H67" i="36" s="1"/>
  <c r="F197" i="36"/>
  <c r="F195" i="36" s="1"/>
  <c r="F42" i="36" s="1"/>
  <c r="D42" i="36" s="1"/>
  <c r="F186" i="36"/>
  <c r="F184" i="36" s="1"/>
  <c r="F181" i="36"/>
  <c r="F67" i="36"/>
  <c r="H171" i="36"/>
  <c r="H169" i="36" s="1"/>
  <c r="H34" i="36" s="1"/>
  <c r="H37" i="36" s="1"/>
  <c r="G169" i="36"/>
  <c r="G34" i="36" s="1"/>
  <c r="G37" i="36" s="1"/>
  <c r="D25" i="35"/>
  <c r="D28" i="35" s="1"/>
  <c r="F28" i="35"/>
  <c r="G109" i="34"/>
  <c r="F107" i="34"/>
  <c r="F25" i="34" s="1"/>
  <c r="E48" i="34"/>
  <c r="F28" i="33"/>
  <c r="G107" i="33"/>
  <c r="G25" i="33" s="1"/>
  <c r="G28" i="33" s="1"/>
  <c r="H109" i="33"/>
  <c r="H107" i="33" s="1"/>
  <c r="H25" i="33" s="1"/>
  <c r="H28" i="33" s="1"/>
  <c r="G107" i="32"/>
  <c r="G25" i="32" s="1"/>
  <c r="G28" i="32" s="1"/>
  <c r="H109" i="32"/>
  <c r="H107" i="32" s="1"/>
  <c r="H25" i="32" s="1"/>
  <c r="H28" i="32" s="1"/>
  <c r="F28" i="32"/>
  <c r="D26" i="31"/>
  <c r="H109" i="31"/>
  <c r="H107" i="31" s="1"/>
  <c r="H25" i="31" s="1"/>
  <c r="H28" i="31" s="1"/>
  <c r="G107" i="31"/>
  <c r="G25" i="31" s="1"/>
  <c r="G107" i="30"/>
  <c r="G25" i="30" s="1"/>
  <c r="H109" i="30"/>
  <c r="H107" i="30" s="1"/>
  <c r="H25" i="30" s="1"/>
  <c r="H28" i="30" s="1"/>
  <c r="F61" i="28"/>
  <c r="H64" i="29"/>
  <c r="H61" i="29" s="1"/>
  <c r="G61" i="29"/>
  <c r="D25" i="28"/>
  <c r="D28" i="28" s="1"/>
  <c r="G61" i="24"/>
  <c r="G61" i="28"/>
  <c r="H64" i="28"/>
  <c r="H61" i="28" s="1"/>
  <c r="H111" i="27"/>
  <c r="H109" i="27" s="1"/>
  <c r="H25" i="27" s="1"/>
  <c r="H28" i="27" s="1"/>
  <c r="G109" i="27"/>
  <c r="G25" i="27" s="1"/>
  <c r="G28" i="27" s="1"/>
  <c r="H64" i="27"/>
  <c r="H61" i="27" s="1"/>
  <c r="G61" i="27"/>
  <c r="H64" i="25"/>
  <c r="H61" i="25" s="1"/>
  <c r="G61" i="25"/>
  <c r="F28" i="25"/>
  <c r="F61" i="25"/>
  <c r="H111" i="25"/>
  <c r="H109" i="25" s="1"/>
  <c r="H25" i="25" s="1"/>
  <c r="H28" i="25" s="1"/>
  <c r="G109" i="25"/>
  <c r="G25" i="25" s="1"/>
  <c r="H111" i="24"/>
  <c r="H109" i="24" s="1"/>
  <c r="H25" i="24" s="1"/>
  <c r="H28" i="24" s="1"/>
  <c r="G109" i="24"/>
  <c r="G25" i="24" s="1"/>
  <c r="G28" i="24" s="1"/>
  <c r="E28" i="24"/>
  <c r="H111" i="21"/>
  <c r="H109" i="21" s="1"/>
  <c r="H25" i="21" s="1"/>
  <c r="H28" i="21" s="1"/>
  <c r="G109" i="21"/>
  <c r="G25" i="21" s="1"/>
  <c r="E48" i="20"/>
  <c r="D48" i="20" s="1"/>
  <c r="F180" i="36" l="1"/>
  <c r="F41" i="36" s="1"/>
  <c r="F45" i="36" s="1"/>
  <c r="G160" i="40"/>
  <c r="G39" i="40" s="1"/>
  <c r="G43" i="40" s="1"/>
  <c r="H9" i="36"/>
  <c r="H81" i="36"/>
  <c r="D52" i="36"/>
  <c r="E8" i="36"/>
  <c r="H8" i="36"/>
  <c r="D25" i="26"/>
  <c r="D28" i="26" s="1"/>
  <c r="D25" i="29"/>
  <c r="D28" i="29" s="1"/>
  <c r="F28" i="29"/>
  <c r="E47" i="45"/>
  <c r="D46" i="45"/>
  <c r="D47" i="45" s="1"/>
  <c r="D14" i="36"/>
  <c r="D47" i="40"/>
  <c r="G46" i="40"/>
  <c r="G51" i="40" s="1"/>
  <c r="G199" i="40"/>
  <c r="G198" i="40" s="1"/>
  <c r="E46" i="40"/>
  <c r="E199" i="40"/>
  <c r="E198" i="40" s="1"/>
  <c r="F46" i="40"/>
  <c r="F51" i="40" s="1"/>
  <c r="F199" i="40"/>
  <c r="F198" i="40" s="1"/>
  <c r="D49" i="40"/>
  <c r="H166" i="40"/>
  <c r="H164" i="40" s="1"/>
  <c r="H177" i="40"/>
  <c r="H175" i="40" s="1"/>
  <c r="H40" i="40" s="1"/>
  <c r="D40" i="40" s="1"/>
  <c r="H161" i="40"/>
  <c r="H199" i="40"/>
  <c r="H198" i="40" s="1"/>
  <c r="H46" i="40"/>
  <c r="H51" i="40" s="1"/>
  <c r="D48" i="40"/>
  <c r="D13" i="36"/>
  <c r="E40" i="36"/>
  <c r="D40" i="36" s="1"/>
  <c r="F9" i="36"/>
  <c r="F8" i="36" s="1"/>
  <c r="F81" i="36"/>
  <c r="G8" i="36"/>
  <c r="G81" i="36"/>
  <c r="E81" i="36"/>
  <c r="D34" i="36"/>
  <c r="D37" i="36" s="1"/>
  <c r="G186" i="36"/>
  <c r="G184" i="36" s="1"/>
  <c r="G181" i="36"/>
  <c r="F28" i="34"/>
  <c r="H109" i="34"/>
  <c r="H107" i="34" s="1"/>
  <c r="H25" i="34" s="1"/>
  <c r="H28" i="34" s="1"/>
  <c r="G107" i="34"/>
  <c r="G25" i="34" s="1"/>
  <c r="G28" i="34" s="1"/>
  <c r="D25" i="33"/>
  <c r="D28" i="33" s="1"/>
  <c r="D25" i="32"/>
  <c r="D28" i="32" s="1"/>
  <c r="G28" i="31"/>
  <c r="D25" i="31"/>
  <c r="D28" i="31" s="1"/>
  <c r="G28" i="30"/>
  <c r="D25" i="30"/>
  <c r="D28" i="30" s="1"/>
  <c r="D25" i="27"/>
  <c r="D28" i="27" s="1"/>
  <c r="G28" i="25"/>
  <c r="D25" i="25"/>
  <c r="D28" i="25" s="1"/>
  <c r="D25" i="24"/>
  <c r="D28" i="24" s="1"/>
  <c r="G28" i="21"/>
  <c r="D25" i="21"/>
  <c r="D28" i="21" s="1"/>
  <c r="G180" i="36" l="1"/>
  <c r="G41" i="36" s="1"/>
  <c r="G45" i="36" s="1"/>
  <c r="H160" i="40"/>
  <c r="H39" i="40" s="1"/>
  <c r="H43" i="40" s="1"/>
  <c r="E45" i="36"/>
  <c r="E51" i="40"/>
  <c r="D46" i="40"/>
  <c r="D51" i="40" s="1"/>
  <c r="F218" i="36"/>
  <c r="H218" i="36"/>
  <c r="E218" i="36"/>
  <c r="G218" i="36"/>
  <c r="D9" i="36"/>
  <c r="D8" i="36" s="1"/>
  <c r="H186" i="36"/>
  <c r="H184" i="36" s="1"/>
  <c r="H181" i="36"/>
  <c r="D25" i="34"/>
  <c r="D28" i="34" s="1"/>
  <c r="H180" i="36" l="1"/>
  <c r="H41" i="36" s="1"/>
  <c r="H45" i="36" s="1"/>
  <c r="D39" i="40"/>
  <c r="D43" i="40" s="1"/>
  <c r="G221" i="36"/>
  <c r="G49" i="36" s="1"/>
  <c r="G223" i="36"/>
  <c r="G51" i="36" s="1"/>
  <c r="G222" i="36"/>
  <c r="G50" i="36" s="1"/>
  <c r="G220" i="36"/>
  <c r="E223" i="36"/>
  <c r="E51" i="36" s="1"/>
  <c r="E221" i="36"/>
  <c r="E49" i="36" s="1"/>
  <c r="E220" i="36"/>
  <c r="E222" i="36"/>
  <c r="E50" i="36" s="1"/>
  <c r="H222" i="36"/>
  <c r="H50" i="36" s="1"/>
  <c r="H221" i="36"/>
  <c r="H49" i="36" s="1"/>
  <c r="H220" i="36"/>
  <c r="H223" i="36"/>
  <c r="H51" i="36" s="1"/>
  <c r="F220" i="36"/>
  <c r="F222" i="36"/>
  <c r="F50" i="36" s="1"/>
  <c r="F221" i="36"/>
  <c r="F49" i="36" s="1"/>
  <c r="F223" i="36"/>
  <c r="F51" i="36" s="1"/>
  <c r="F154" i="20"/>
  <c r="G154" i="20"/>
  <c r="H154" i="20"/>
  <c r="E154" i="20"/>
  <c r="F163" i="20"/>
  <c r="G163" i="20"/>
  <c r="H163" i="20"/>
  <c r="E163" i="20"/>
  <c r="F151" i="20"/>
  <c r="G151" i="20"/>
  <c r="H151" i="20"/>
  <c r="E151" i="20"/>
  <c r="E90" i="20"/>
  <c r="F90" i="20"/>
  <c r="G90" i="20"/>
  <c r="H90" i="20"/>
  <c r="E104" i="20"/>
  <c r="E99" i="20"/>
  <c r="E113" i="20"/>
  <c r="E86" i="20"/>
  <c r="E82" i="20"/>
  <c r="E109" i="20"/>
  <c r="H113" i="20"/>
  <c r="G86" i="20"/>
  <c r="F113" i="20"/>
  <c r="H225" i="20"/>
  <c r="H223" i="20" s="1"/>
  <c r="G225" i="20"/>
  <c r="G223" i="20" s="1"/>
  <c r="F225" i="20"/>
  <c r="F224" i="20"/>
  <c r="E223" i="20"/>
  <c r="H219" i="20"/>
  <c r="H218" i="20" s="1"/>
  <c r="G219" i="20"/>
  <c r="G218" i="20" s="1"/>
  <c r="F219" i="20"/>
  <c r="F218" i="20" s="1"/>
  <c r="E218" i="20"/>
  <c r="H216" i="20"/>
  <c r="H214" i="20" s="1"/>
  <c r="G216" i="20"/>
  <c r="G214" i="20" s="1"/>
  <c r="F216" i="20"/>
  <c r="F214" i="20" s="1"/>
  <c r="E216" i="20"/>
  <c r="E214" i="20" s="1"/>
  <c r="H212" i="20"/>
  <c r="G212" i="20"/>
  <c r="G210" i="20" s="1"/>
  <c r="F212" i="20"/>
  <c r="F210" i="20" s="1"/>
  <c r="E212" i="20"/>
  <c r="E210" i="20" s="1"/>
  <c r="H210" i="20"/>
  <c r="E206" i="20"/>
  <c r="G205" i="20"/>
  <c r="F205" i="20"/>
  <c r="G204" i="20"/>
  <c r="F204" i="20"/>
  <c r="E203" i="20"/>
  <c r="H200" i="20"/>
  <c r="G200" i="20"/>
  <c r="F200" i="20"/>
  <c r="E200" i="20"/>
  <c r="H198" i="20"/>
  <c r="G198" i="20"/>
  <c r="F198" i="20"/>
  <c r="E198" i="20"/>
  <c r="H196" i="20"/>
  <c r="G196" i="20"/>
  <c r="F196" i="20"/>
  <c r="E196" i="20"/>
  <c r="H194" i="20"/>
  <c r="H192" i="20" s="1"/>
  <c r="H53" i="20" s="1"/>
  <c r="G194" i="20"/>
  <c r="F194" i="20"/>
  <c r="E194" i="20"/>
  <c r="E192" i="20" s="1"/>
  <c r="E53" i="20" s="1"/>
  <c r="H176" i="20"/>
  <c r="G176" i="20"/>
  <c r="F176" i="20"/>
  <c r="E176" i="20"/>
  <c r="E174" i="20" s="1"/>
  <c r="E31" i="20" s="1"/>
  <c r="E140" i="20"/>
  <c r="F140" i="20" s="1"/>
  <c r="E132" i="20"/>
  <c r="E25" i="20" s="1"/>
  <c r="E66" i="20"/>
  <c r="F66" i="20" s="1"/>
  <c r="G66" i="20" s="1"/>
  <c r="H65" i="20"/>
  <c r="G65" i="20"/>
  <c r="F65" i="20"/>
  <c r="D40" i="20"/>
  <c r="D26" i="20"/>
  <c r="G192" i="20" l="1"/>
  <c r="G53" i="20" s="1"/>
  <c r="E97" i="20"/>
  <c r="D50" i="36"/>
  <c r="G217" i="36"/>
  <c r="G216" i="36" s="1"/>
  <c r="G48" i="36"/>
  <c r="G53" i="36" s="1"/>
  <c r="H217" i="36"/>
  <c r="H216" i="36" s="1"/>
  <c r="H48" i="36"/>
  <c r="H53" i="36" s="1"/>
  <c r="E217" i="36"/>
  <c r="E216" i="36" s="1"/>
  <c r="E48" i="36"/>
  <c r="D49" i="36"/>
  <c r="F217" i="36"/>
  <c r="F216" i="36" s="1"/>
  <c r="F48" i="36"/>
  <c r="F53" i="36" s="1"/>
  <c r="D51" i="36"/>
  <c r="E107" i="20"/>
  <c r="E11" i="20" s="1"/>
  <c r="D41" i="36"/>
  <c r="D45" i="36" s="1"/>
  <c r="F116" i="20"/>
  <c r="H116" i="20"/>
  <c r="G116" i="20"/>
  <c r="E152" i="20"/>
  <c r="E155" i="20" s="1"/>
  <c r="E153" i="20" s="1"/>
  <c r="E116" i="20"/>
  <c r="E89" i="20"/>
  <c r="E10" i="20" s="1"/>
  <c r="E81" i="20"/>
  <c r="H104" i="20"/>
  <c r="G162" i="20"/>
  <c r="G38" i="20" s="1"/>
  <c r="H162" i="20"/>
  <c r="H38" i="20" s="1"/>
  <c r="G104" i="20"/>
  <c r="F104" i="20"/>
  <c r="F99" i="20"/>
  <c r="H99" i="20"/>
  <c r="G174" i="20"/>
  <c r="G31" i="20" s="1"/>
  <c r="G99" i="20"/>
  <c r="G113" i="20"/>
  <c r="G82" i="20"/>
  <c r="G81" i="20" s="1"/>
  <c r="G9" i="20" s="1"/>
  <c r="H109" i="20"/>
  <c r="H107" i="20" s="1"/>
  <c r="H11" i="20" s="1"/>
  <c r="H82" i="20"/>
  <c r="H86" i="20"/>
  <c r="G109" i="20"/>
  <c r="H174" i="20"/>
  <c r="H31" i="20" s="1"/>
  <c r="F109" i="20"/>
  <c r="F107" i="20" s="1"/>
  <c r="F11" i="20" s="1"/>
  <c r="F82" i="20"/>
  <c r="F86" i="20"/>
  <c r="F192" i="20"/>
  <c r="F53" i="20" s="1"/>
  <c r="E209" i="20"/>
  <c r="E202" i="20" s="1"/>
  <c r="E52" i="20" s="1"/>
  <c r="F63" i="20"/>
  <c r="H209" i="20"/>
  <c r="F223" i="20"/>
  <c r="F209" i="20"/>
  <c r="G209" i="20"/>
  <c r="F174" i="20"/>
  <c r="F31" i="20" s="1"/>
  <c r="E138" i="20"/>
  <c r="E30" i="20" s="1"/>
  <c r="E33" i="20" s="1"/>
  <c r="E27" i="20"/>
  <c r="F138" i="20"/>
  <c r="F30" i="20" s="1"/>
  <c r="G140" i="20"/>
  <c r="H66" i="20"/>
  <c r="H63" i="20" s="1"/>
  <c r="G63" i="20"/>
  <c r="E63" i="20"/>
  <c r="F169" i="19"/>
  <c r="G150" i="19"/>
  <c r="F150" i="19"/>
  <c r="G149" i="19"/>
  <c r="F149" i="19"/>
  <c r="F133" i="19"/>
  <c r="G135" i="19"/>
  <c r="H135" i="19"/>
  <c r="F135" i="19"/>
  <c r="E60" i="19"/>
  <c r="F60" i="19" s="1"/>
  <c r="G59" i="19"/>
  <c r="H59" i="19"/>
  <c r="F59" i="19"/>
  <c r="H170" i="19"/>
  <c r="H168" i="19" s="1"/>
  <c r="G170" i="19"/>
  <c r="G168" i="19" s="1"/>
  <c r="F170" i="19"/>
  <c r="E168" i="19"/>
  <c r="H164" i="19"/>
  <c r="H163" i="19" s="1"/>
  <c r="G164" i="19"/>
  <c r="G163" i="19" s="1"/>
  <c r="F164" i="19"/>
  <c r="F163" i="19" s="1"/>
  <c r="E163" i="19"/>
  <c r="H161" i="19"/>
  <c r="G161" i="19"/>
  <c r="G159" i="19" s="1"/>
  <c r="F161" i="19"/>
  <c r="E161" i="19"/>
  <c r="E159" i="19" s="1"/>
  <c r="H159" i="19"/>
  <c r="F159" i="19"/>
  <c r="H157" i="19"/>
  <c r="G157" i="19"/>
  <c r="F157" i="19"/>
  <c r="F155" i="19" s="1"/>
  <c r="E157" i="19"/>
  <c r="E155" i="19" s="1"/>
  <c r="H155" i="19"/>
  <c r="G155" i="19"/>
  <c r="E151" i="19"/>
  <c r="E148" i="19"/>
  <c r="H145" i="19"/>
  <c r="G145" i="19"/>
  <c r="F145" i="19"/>
  <c r="E145" i="19"/>
  <c r="H143" i="19"/>
  <c r="G143" i="19"/>
  <c r="F143" i="19"/>
  <c r="E143" i="19"/>
  <c r="H141" i="19"/>
  <c r="G141" i="19"/>
  <c r="F141" i="19"/>
  <c r="E141" i="19"/>
  <c r="H139" i="19"/>
  <c r="H137" i="19" s="1"/>
  <c r="H47" i="19" s="1"/>
  <c r="G139" i="19"/>
  <c r="F139" i="19"/>
  <c r="F137" i="19" s="1"/>
  <c r="F47" i="19" s="1"/>
  <c r="E139" i="19"/>
  <c r="E137" i="19" s="1"/>
  <c r="E47" i="19" s="1"/>
  <c r="H134" i="19"/>
  <c r="G134" i="19"/>
  <c r="F134" i="19"/>
  <c r="E134" i="19"/>
  <c r="E132" i="19" s="1"/>
  <c r="E26" i="19" s="1"/>
  <c r="E109" i="19"/>
  <c r="F109" i="19" s="1"/>
  <c r="F107" i="19" s="1"/>
  <c r="F25" i="19" s="1"/>
  <c r="H43" i="19"/>
  <c r="G43" i="19"/>
  <c r="F43" i="19"/>
  <c r="E43" i="19"/>
  <c r="D42" i="19"/>
  <c r="D41" i="19"/>
  <c r="D40" i="19"/>
  <c r="D39" i="19"/>
  <c r="D38" i="19"/>
  <c r="H35" i="19"/>
  <c r="G35" i="19"/>
  <c r="F35" i="19"/>
  <c r="E35" i="19"/>
  <c r="D34" i="19"/>
  <c r="D33" i="19"/>
  <c r="D32" i="19"/>
  <c r="D31" i="19"/>
  <c r="D21" i="19"/>
  <c r="E149" i="18"/>
  <c r="E161" i="18"/>
  <c r="G162" i="18"/>
  <c r="G161" i="18" s="1"/>
  <c r="H162" i="18"/>
  <c r="H161" i="18" s="1"/>
  <c r="F162" i="18"/>
  <c r="F161" i="18" s="1"/>
  <c r="E166" i="18"/>
  <c r="G168" i="18"/>
  <c r="G166" i="18" s="1"/>
  <c r="H168" i="18"/>
  <c r="H166" i="18" s="1"/>
  <c r="F168" i="18"/>
  <c r="F167" i="18"/>
  <c r="F159" i="18"/>
  <c r="F157" i="18" s="1"/>
  <c r="G159" i="18"/>
  <c r="G157" i="18" s="1"/>
  <c r="H159" i="18"/>
  <c r="H157" i="18" s="1"/>
  <c r="E159" i="18"/>
  <c r="E157" i="18" s="1"/>
  <c r="F155" i="18"/>
  <c r="F153" i="18" s="1"/>
  <c r="G155" i="18"/>
  <c r="G153" i="18" s="1"/>
  <c r="H155" i="18"/>
  <c r="H153" i="18" s="1"/>
  <c r="E155" i="18"/>
  <c r="E153" i="18" s="1"/>
  <c r="G148" i="18"/>
  <c r="F148" i="18"/>
  <c r="F139" i="18"/>
  <c r="G139" i="18"/>
  <c r="H139" i="18"/>
  <c r="E139" i="18"/>
  <c r="F137" i="18"/>
  <c r="G137" i="18"/>
  <c r="H137" i="18"/>
  <c r="E137" i="18"/>
  <c r="E146" i="18"/>
  <c r="H143" i="18"/>
  <c r="G143" i="18"/>
  <c r="F143" i="18"/>
  <c r="E143" i="18"/>
  <c r="H141" i="18"/>
  <c r="G141" i="18"/>
  <c r="F141" i="18"/>
  <c r="E141" i="18"/>
  <c r="H132" i="18"/>
  <c r="H130" i="18" s="1"/>
  <c r="H26" i="18" s="1"/>
  <c r="G132" i="18"/>
  <c r="G130" i="18" s="1"/>
  <c r="G26" i="18" s="1"/>
  <c r="F132" i="18"/>
  <c r="E132" i="18"/>
  <c r="E130" i="18" s="1"/>
  <c r="E26" i="18" s="1"/>
  <c r="E107" i="18"/>
  <c r="F107" i="18" s="1"/>
  <c r="H101" i="18"/>
  <c r="G101" i="18"/>
  <c r="F101" i="18"/>
  <c r="E99" i="18"/>
  <c r="E20" i="18" s="1"/>
  <c r="E57" i="18"/>
  <c r="H43" i="18"/>
  <c r="G43" i="18"/>
  <c r="F43" i="18"/>
  <c r="E43" i="18"/>
  <c r="D42" i="18"/>
  <c r="D41" i="18"/>
  <c r="D40" i="18"/>
  <c r="D39" i="18"/>
  <c r="D38" i="18"/>
  <c r="H35" i="18"/>
  <c r="G35" i="18"/>
  <c r="F35" i="18"/>
  <c r="E35" i="18"/>
  <c r="D34" i="18"/>
  <c r="D33" i="18"/>
  <c r="D32" i="18"/>
  <c r="D31" i="18"/>
  <c r="D21" i="18"/>
  <c r="G137" i="19" l="1"/>
  <c r="G47" i="19" s="1"/>
  <c r="H154" i="19"/>
  <c r="D53" i="20"/>
  <c r="E154" i="19"/>
  <c r="F152" i="18"/>
  <c r="F154" i="19"/>
  <c r="G154" i="19"/>
  <c r="F97" i="20"/>
  <c r="F57" i="19"/>
  <c r="G132" i="19"/>
  <c r="G26" i="19" s="1"/>
  <c r="E147" i="19"/>
  <c r="E46" i="19" s="1"/>
  <c r="E48" i="19" s="1"/>
  <c r="E57" i="19"/>
  <c r="D35" i="19"/>
  <c r="D43" i="19"/>
  <c r="F132" i="19"/>
  <c r="F26" i="19" s="1"/>
  <c r="F28" i="19" s="1"/>
  <c r="E53" i="36"/>
  <c r="D48" i="36"/>
  <c r="D53" i="36" s="1"/>
  <c r="E77" i="20"/>
  <c r="E9" i="20"/>
  <c r="E8" i="20" s="1"/>
  <c r="E146" i="20"/>
  <c r="E150" i="20"/>
  <c r="E149" i="20" s="1"/>
  <c r="E37" i="20" s="1"/>
  <c r="E164" i="20"/>
  <c r="E162" i="20" s="1"/>
  <c r="E38" i="20" s="1"/>
  <c r="F152" i="20"/>
  <c r="H152" i="18"/>
  <c r="E107" i="19"/>
  <c r="E25" i="19" s="1"/>
  <c r="E28" i="19" s="1"/>
  <c r="F168" i="19"/>
  <c r="E152" i="18"/>
  <c r="E145" i="18" s="1"/>
  <c r="E46" i="18" s="1"/>
  <c r="G152" i="18"/>
  <c r="H132" i="19"/>
  <c r="H26" i="19" s="1"/>
  <c r="H97" i="20"/>
  <c r="H89" i="20" s="1"/>
  <c r="H10" i="20" s="1"/>
  <c r="G97" i="20"/>
  <c r="G89" i="20" s="1"/>
  <c r="G10" i="20" s="1"/>
  <c r="F81" i="20"/>
  <c r="F9" i="20" s="1"/>
  <c r="F89" i="20"/>
  <c r="G107" i="20"/>
  <c r="G11" i="20" s="1"/>
  <c r="D11" i="20" s="1"/>
  <c r="H81" i="20"/>
  <c r="D31" i="20"/>
  <c r="F33" i="20"/>
  <c r="G60" i="19"/>
  <c r="E54" i="20"/>
  <c r="H140" i="20"/>
  <c r="H138" i="20" s="1"/>
  <c r="H30" i="20" s="1"/>
  <c r="H33" i="20" s="1"/>
  <c r="G138" i="20"/>
  <c r="G30" i="20" s="1"/>
  <c r="D47" i="19"/>
  <c r="G109" i="19"/>
  <c r="F166" i="18"/>
  <c r="E105" i="18"/>
  <c r="E25" i="18" s="1"/>
  <c r="E28" i="18" s="1"/>
  <c r="D43" i="18"/>
  <c r="G135" i="18"/>
  <c r="G47" i="18" s="1"/>
  <c r="H135" i="18"/>
  <c r="H47" i="18" s="1"/>
  <c r="F135" i="18"/>
  <c r="F47" i="18" s="1"/>
  <c r="F130" i="18"/>
  <c r="F26" i="18" s="1"/>
  <c r="D26" i="18" s="1"/>
  <c r="D35" i="18"/>
  <c r="E135" i="18"/>
  <c r="E47" i="18" s="1"/>
  <c r="E22" i="18"/>
  <c r="G107" i="18"/>
  <c r="F105" i="18"/>
  <c r="F25" i="18" s="1"/>
  <c r="G8" i="20" l="1"/>
  <c r="D26" i="19"/>
  <c r="E143" i="20"/>
  <c r="E36" i="20" s="1"/>
  <c r="D36" i="20" s="1"/>
  <c r="E144" i="20"/>
  <c r="E41" i="20"/>
  <c r="F77" i="20"/>
  <c r="F10" i="20"/>
  <c r="H77" i="20"/>
  <c r="H9" i="20"/>
  <c r="F155" i="20"/>
  <c r="F153" i="20" s="1"/>
  <c r="G152" i="20"/>
  <c r="F164" i="20"/>
  <c r="F150" i="20"/>
  <c r="G77" i="20"/>
  <c r="H60" i="19"/>
  <c r="H57" i="19" s="1"/>
  <c r="G57" i="19"/>
  <c r="G33" i="20"/>
  <c r="D30" i="20"/>
  <c r="D33" i="20" s="1"/>
  <c r="H109" i="19"/>
  <c r="H107" i="19" s="1"/>
  <c r="H25" i="19" s="1"/>
  <c r="H28" i="19" s="1"/>
  <c r="G107" i="19"/>
  <c r="G25" i="19" s="1"/>
  <c r="F28" i="18"/>
  <c r="D47" i="18"/>
  <c r="E48" i="18"/>
  <c r="G105" i="18"/>
  <c r="G25" i="18" s="1"/>
  <c r="G28" i="18" s="1"/>
  <c r="H107" i="18"/>
  <c r="H105" i="18" s="1"/>
  <c r="H25" i="18" s="1"/>
  <c r="H28" i="18" s="1"/>
  <c r="F149" i="20" l="1"/>
  <c r="F37" i="20" s="1"/>
  <c r="F162" i="20"/>
  <c r="F38" i="20" s="1"/>
  <c r="D38" i="20" s="1"/>
  <c r="D10" i="20"/>
  <c r="F8" i="20"/>
  <c r="D9" i="20"/>
  <c r="D8" i="20" s="1"/>
  <c r="H8" i="20"/>
  <c r="F181" i="20"/>
  <c r="E181" i="20"/>
  <c r="G181" i="20"/>
  <c r="H181" i="20"/>
  <c r="G155" i="20"/>
  <c r="G153" i="20" s="1"/>
  <c r="G150" i="20"/>
  <c r="H152" i="20"/>
  <c r="G28" i="19"/>
  <c r="D25" i="19"/>
  <c r="D28" i="19" s="1"/>
  <c r="D25" i="18"/>
  <c r="D28" i="18" s="1"/>
  <c r="G149" i="20" l="1"/>
  <c r="F41" i="20"/>
  <c r="H185" i="20"/>
  <c r="H46" i="20" s="1"/>
  <c r="H183" i="20"/>
  <c r="H186" i="20"/>
  <c r="H47" i="20" s="1"/>
  <c r="H184" i="20"/>
  <c r="H45" i="20" s="1"/>
  <c r="G184" i="20"/>
  <c r="G45" i="20" s="1"/>
  <c r="G186" i="20"/>
  <c r="G47" i="20" s="1"/>
  <c r="G183" i="20"/>
  <c r="G185" i="20"/>
  <c r="G46" i="20" s="1"/>
  <c r="E186" i="20"/>
  <c r="E47" i="20" s="1"/>
  <c r="E184" i="20"/>
  <c r="E45" i="20" s="1"/>
  <c r="E185" i="20"/>
  <c r="E46" i="20" s="1"/>
  <c r="E183" i="20"/>
  <c r="E44" i="20" s="1"/>
  <c r="F183" i="20"/>
  <c r="F184" i="20"/>
  <c r="F45" i="20" s="1"/>
  <c r="F186" i="20"/>
  <c r="F47" i="20" s="1"/>
  <c r="F185" i="20"/>
  <c r="F46" i="20" s="1"/>
  <c r="G37" i="20"/>
  <c r="G41" i="20" s="1"/>
  <c r="H155" i="20"/>
  <c r="H153" i="20" s="1"/>
  <c r="H150" i="20"/>
  <c r="F146" i="16"/>
  <c r="E145" i="16"/>
  <c r="E46" i="16" s="1"/>
  <c r="H143" i="16"/>
  <c r="G143" i="16"/>
  <c r="F143" i="16"/>
  <c r="E143" i="16"/>
  <c r="H141" i="16"/>
  <c r="G141" i="16"/>
  <c r="F141" i="16"/>
  <c r="E141" i="16"/>
  <c r="E135" i="16" s="1"/>
  <c r="E47" i="16" s="1"/>
  <c r="G139" i="16"/>
  <c r="F139" i="16"/>
  <c r="H132" i="16"/>
  <c r="H130" i="16" s="1"/>
  <c r="H26" i="16" s="1"/>
  <c r="G132" i="16"/>
  <c r="G130" i="16" s="1"/>
  <c r="G26" i="16" s="1"/>
  <c r="F132" i="16"/>
  <c r="E132" i="16"/>
  <c r="E130" i="16" s="1"/>
  <c r="E26" i="16" s="1"/>
  <c r="F131" i="16"/>
  <c r="E107" i="16"/>
  <c r="F107" i="16" s="1"/>
  <c r="H101" i="16"/>
  <c r="G101" i="16"/>
  <c r="F101" i="16"/>
  <c r="E99" i="16"/>
  <c r="E20" i="16" s="1"/>
  <c r="E57" i="16"/>
  <c r="H43" i="16"/>
  <c r="G43" i="16"/>
  <c r="F43" i="16"/>
  <c r="E43" i="16"/>
  <c r="D42" i="16"/>
  <c r="D41" i="16"/>
  <c r="D40" i="16"/>
  <c r="D39" i="16"/>
  <c r="D38" i="16"/>
  <c r="H35" i="16"/>
  <c r="G35" i="16"/>
  <c r="F35" i="16"/>
  <c r="E35" i="16"/>
  <c r="D34" i="16"/>
  <c r="D33" i="16"/>
  <c r="D32" i="16"/>
  <c r="D31" i="16"/>
  <c r="D21" i="16"/>
  <c r="E145" i="15"/>
  <c r="E46" i="15" s="1"/>
  <c r="F146" i="15"/>
  <c r="F141" i="15"/>
  <c r="G141" i="15"/>
  <c r="H141" i="15"/>
  <c r="E141" i="15"/>
  <c r="G139" i="15"/>
  <c r="F139" i="15"/>
  <c r="H143" i="15"/>
  <c r="G143" i="15"/>
  <c r="F143" i="15"/>
  <c r="E143" i="15"/>
  <c r="H132" i="15"/>
  <c r="H130" i="15" s="1"/>
  <c r="H26" i="15" s="1"/>
  <c r="G132" i="15"/>
  <c r="G130" i="15" s="1"/>
  <c r="G26" i="15" s="1"/>
  <c r="F132" i="15"/>
  <c r="E132" i="15"/>
  <c r="E130" i="15" s="1"/>
  <c r="E26" i="15" s="1"/>
  <c r="E107" i="15"/>
  <c r="F107" i="15" s="1"/>
  <c r="F105" i="15" s="1"/>
  <c r="F25" i="15" s="1"/>
  <c r="H101" i="15"/>
  <c r="G101" i="15"/>
  <c r="F101" i="15"/>
  <c r="E99" i="15"/>
  <c r="E20" i="15" s="1"/>
  <c r="E22" i="15" s="1"/>
  <c r="E57" i="15"/>
  <c r="H43" i="15"/>
  <c r="G43" i="15"/>
  <c r="F43" i="15"/>
  <c r="E43" i="15"/>
  <c r="D42" i="15"/>
  <c r="D41" i="15"/>
  <c r="D40" i="15"/>
  <c r="D39" i="15"/>
  <c r="D38" i="15"/>
  <c r="H35" i="15"/>
  <c r="G35" i="15"/>
  <c r="F35" i="15"/>
  <c r="E35" i="15"/>
  <c r="D34" i="15"/>
  <c r="D33" i="15"/>
  <c r="D32" i="15"/>
  <c r="D31" i="15"/>
  <c r="D21" i="15"/>
  <c r="H141" i="14"/>
  <c r="G141" i="14"/>
  <c r="G135" i="14" s="1"/>
  <c r="G47" i="14" s="1"/>
  <c r="F141" i="14"/>
  <c r="F135" i="14" s="1"/>
  <c r="F47" i="14" s="1"/>
  <c r="F48" i="14" s="1"/>
  <c r="E141" i="14"/>
  <c r="E135" i="14" s="1"/>
  <c r="E47" i="14" s="1"/>
  <c r="E48" i="14" s="1"/>
  <c r="H135" i="14"/>
  <c r="H47" i="14" s="1"/>
  <c r="H48" i="14" s="1"/>
  <c r="H132" i="14"/>
  <c r="H130" i="14" s="1"/>
  <c r="H26" i="14" s="1"/>
  <c r="G132" i="14"/>
  <c r="G130" i="14" s="1"/>
  <c r="G26" i="14" s="1"/>
  <c r="F132" i="14"/>
  <c r="E132" i="14"/>
  <c r="F130" i="14"/>
  <c r="F26" i="14" s="1"/>
  <c r="E130" i="14"/>
  <c r="E26" i="14" s="1"/>
  <c r="E107" i="14"/>
  <c r="F107" i="14" s="1"/>
  <c r="F105" i="14" s="1"/>
  <c r="F25" i="14" s="1"/>
  <c r="H101" i="14"/>
  <c r="G101" i="14"/>
  <c r="F101" i="14"/>
  <c r="E99" i="14"/>
  <c r="E20" i="14" s="1"/>
  <c r="E22" i="14" s="1"/>
  <c r="E57" i="14"/>
  <c r="H43" i="14"/>
  <c r="G43" i="14"/>
  <c r="F43" i="14"/>
  <c r="E43" i="14"/>
  <c r="D42" i="14"/>
  <c r="D41" i="14"/>
  <c r="D40" i="14"/>
  <c r="D39" i="14"/>
  <c r="D38" i="14"/>
  <c r="H35" i="14"/>
  <c r="G35" i="14"/>
  <c r="F35" i="14"/>
  <c r="E35" i="14"/>
  <c r="D34" i="14"/>
  <c r="D33" i="14"/>
  <c r="D32" i="14"/>
  <c r="D31" i="14"/>
  <c r="D21" i="14"/>
  <c r="H141" i="13"/>
  <c r="G141" i="13"/>
  <c r="G135" i="13" s="1"/>
  <c r="G47" i="13" s="1"/>
  <c r="G48" i="13" s="1"/>
  <c r="F141" i="13"/>
  <c r="F135" i="13" s="1"/>
  <c r="F47" i="13" s="1"/>
  <c r="F48" i="13" s="1"/>
  <c r="E141" i="13"/>
  <c r="E135" i="13" s="1"/>
  <c r="E47" i="13" s="1"/>
  <c r="H135" i="13"/>
  <c r="H47" i="13" s="1"/>
  <c r="H48" i="13" s="1"/>
  <c r="H132" i="13"/>
  <c r="H130" i="13" s="1"/>
  <c r="H26" i="13" s="1"/>
  <c r="G132" i="13"/>
  <c r="G130" i="13" s="1"/>
  <c r="G26" i="13" s="1"/>
  <c r="F132" i="13"/>
  <c r="F130" i="13" s="1"/>
  <c r="F26" i="13" s="1"/>
  <c r="E132" i="13"/>
  <c r="E130" i="13" s="1"/>
  <c r="E26" i="13" s="1"/>
  <c r="E107" i="13"/>
  <c r="F107" i="13" s="1"/>
  <c r="H101" i="13"/>
  <c r="G101" i="13"/>
  <c r="F101" i="13"/>
  <c r="E99" i="13"/>
  <c r="E20" i="13" s="1"/>
  <c r="E57" i="13"/>
  <c r="H43" i="13"/>
  <c r="G43" i="13"/>
  <c r="F43" i="13"/>
  <c r="E43" i="13"/>
  <c r="D42" i="13"/>
  <c r="D41" i="13"/>
  <c r="D40" i="13"/>
  <c r="D39" i="13"/>
  <c r="D38" i="13"/>
  <c r="H35" i="13"/>
  <c r="G35" i="13"/>
  <c r="F35" i="13"/>
  <c r="E35" i="13"/>
  <c r="D34" i="13"/>
  <c r="D33" i="13"/>
  <c r="D32" i="13"/>
  <c r="D31" i="13"/>
  <c r="D21" i="13"/>
  <c r="C15" i="7"/>
  <c r="H135" i="16" l="1"/>
  <c r="H47" i="16" s="1"/>
  <c r="H149" i="20"/>
  <c r="H37" i="20" s="1"/>
  <c r="D43" i="16"/>
  <c r="D35" i="16"/>
  <c r="D35" i="15"/>
  <c r="D43" i="15"/>
  <c r="D35" i="14"/>
  <c r="D43" i="14"/>
  <c r="E180" i="20"/>
  <c r="E179" i="20" s="1"/>
  <c r="D45" i="20"/>
  <c r="D46" i="20"/>
  <c r="G180" i="20"/>
  <c r="G179" i="20" s="1"/>
  <c r="G44" i="20"/>
  <c r="G49" i="20" s="1"/>
  <c r="H180" i="20"/>
  <c r="H179" i="20" s="1"/>
  <c r="H44" i="20"/>
  <c r="H49" i="20" s="1"/>
  <c r="F180" i="20"/>
  <c r="F179" i="20" s="1"/>
  <c r="F44" i="20"/>
  <c r="F49" i="20" s="1"/>
  <c r="D47" i="20"/>
  <c r="G135" i="16"/>
  <c r="G47" i="16" s="1"/>
  <c r="H135" i="15"/>
  <c r="H47" i="15" s="1"/>
  <c r="G135" i="15"/>
  <c r="G47" i="15" s="1"/>
  <c r="F130" i="16"/>
  <c r="F26" i="16" s="1"/>
  <c r="F135" i="15"/>
  <c r="F47" i="15" s="1"/>
  <c r="E105" i="16"/>
  <c r="E25" i="16" s="1"/>
  <c r="E28" i="16" s="1"/>
  <c r="E135" i="15"/>
  <c r="E47" i="15" s="1"/>
  <c r="E48" i="15" s="1"/>
  <c r="F135" i="16"/>
  <c r="F47" i="16" s="1"/>
  <c r="E22" i="16"/>
  <c r="G107" i="16"/>
  <c r="F105" i="16"/>
  <c r="F25" i="16" s="1"/>
  <c r="D26" i="16"/>
  <c r="E48" i="16"/>
  <c r="E105" i="15"/>
  <c r="E25" i="15" s="1"/>
  <c r="E28" i="15" s="1"/>
  <c r="D26" i="13"/>
  <c r="E105" i="13"/>
  <c r="E25" i="13" s="1"/>
  <c r="E28" i="13" s="1"/>
  <c r="E105" i="14"/>
  <c r="E25" i="14" s="1"/>
  <c r="E28" i="14" s="1"/>
  <c r="D26" i="14"/>
  <c r="G107" i="15"/>
  <c r="H107" i="15" s="1"/>
  <c r="H105" i="15" s="1"/>
  <c r="H25" i="15" s="1"/>
  <c r="H28" i="15" s="1"/>
  <c r="F130" i="15"/>
  <c r="F26" i="15" s="1"/>
  <c r="F28" i="15" s="1"/>
  <c r="G48" i="14"/>
  <c r="D47" i="14"/>
  <c r="D48" i="14" s="1"/>
  <c r="F28" i="14"/>
  <c r="G107" i="14"/>
  <c r="E22" i="13"/>
  <c r="D35" i="13"/>
  <c r="D43" i="13"/>
  <c r="D47" i="13"/>
  <c r="D48" i="13" s="1"/>
  <c r="E48" i="13"/>
  <c r="G107" i="13"/>
  <c r="F105" i="13"/>
  <c r="F25" i="13" s="1"/>
  <c r="F28" i="13" s="1"/>
  <c r="F132" i="11"/>
  <c r="F130" i="11" s="1"/>
  <c r="F26" i="11" s="1"/>
  <c r="G132" i="11"/>
  <c r="G130" i="11" s="1"/>
  <c r="G26" i="11" s="1"/>
  <c r="H132" i="11"/>
  <c r="H130" i="11" s="1"/>
  <c r="H26" i="11" s="1"/>
  <c r="E132" i="11"/>
  <c r="E130" i="11" s="1"/>
  <c r="E26" i="11" s="1"/>
  <c r="H141" i="11"/>
  <c r="H135" i="11" s="1"/>
  <c r="H47" i="11" s="1"/>
  <c r="H48" i="11" s="1"/>
  <c r="G141" i="11"/>
  <c r="F141" i="11"/>
  <c r="E141" i="11"/>
  <c r="E135" i="11" s="1"/>
  <c r="E47" i="11" s="1"/>
  <c r="G135" i="11"/>
  <c r="G47" i="11" s="1"/>
  <c r="G48" i="11" s="1"/>
  <c r="F135" i="11"/>
  <c r="F47" i="11" s="1"/>
  <c r="F48" i="11" s="1"/>
  <c r="E107" i="11"/>
  <c r="F107" i="11" s="1"/>
  <c r="H101" i="11"/>
  <c r="G101" i="11"/>
  <c r="F101" i="11"/>
  <c r="E99" i="11"/>
  <c r="E20" i="11" s="1"/>
  <c r="E57" i="11"/>
  <c r="H43" i="11"/>
  <c r="G43" i="11"/>
  <c r="F43" i="11"/>
  <c r="E43" i="11"/>
  <c r="D42" i="11"/>
  <c r="D41" i="11"/>
  <c r="D40" i="11"/>
  <c r="D39" i="11"/>
  <c r="D38" i="11"/>
  <c r="H35" i="11"/>
  <c r="G35" i="11"/>
  <c r="F35" i="11"/>
  <c r="E35" i="11"/>
  <c r="D34" i="11"/>
  <c r="D33" i="11"/>
  <c r="D32" i="11"/>
  <c r="D31" i="11"/>
  <c r="D21" i="11"/>
  <c r="F136" i="10"/>
  <c r="F130" i="10" s="1"/>
  <c r="F47" i="10" s="1"/>
  <c r="F48" i="10" s="1"/>
  <c r="G136" i="10"/>
  <c r="G130" i="10" s="1"/>
  <c r="G47" i="10" s="1"/>
  <c r="G48" i="10" s="1"/>
  <c r="H136" i="10"/>
  <c r="H130" i="10" s="1"/>
  <c r="H47" i="10" s="1"/>
  <c r="H48" i="10" s="1"/>
  <c r="E136" i="10"/>
  <c r="E130" i="10" s="1"/>
  <c r="E47" i="10" s="1"/>
  <c r="E107" i="10"/>
  <c r="F107" i="10" s="1"/>
  <c r="H101" i="10"/>
  <c r="G101" i="10"/>
  <c r="F101" i="10"/>
  <c r="E99" i="10"/>
  <c r="E20" i="10" s="1"/>
  <c r="E57" i="10"/>
  <c r="H43" i="10"/>
  <c r="G43" i="10"/>
  <c r="F43" i="10"/>
  <c r="E43" i="10"/>
  <c r="D42" i="10"/>
  <c r="D41" i="10"/>
  <c r="D40" i="10"/>
  <c r="D39" i="10"/>
  <c r="D38" i="10"/>
  <c r="H35" i="10"/>
  <c r="G35" i="10"/>
  <c r="F35" i="10"/>
  <c r="E35" i="10"/>
  <c r="D34" i="10"/>
  <c r="D33" i="10"/>
  <c r="D32" i="10"/>
  <c r="D31" i="10"/>
  <c r="D26" i="10"/>
  <c r="D21" i="10"/>
  <c r="E107" i="8"/>
  <c r="F107" i="8" s="1"/>
  <c r="G107" i="8" s="1"/>
  <c r="H107" i="8" s="1"/>
  <c r="H105" i="8" s="1"/>
  <c r="H25" i="8" s="1"/>
  <c r="H28" i="8" s="1"/>
  <c r="E107" i="6"/>
  <c r="F107" i="6" s="1"/>
  <c r="H64" i="8"/>
  <c r="H101" i="8"/>
  <c r="G101" i="8"/>
  <c r="F101" i="8"/>
  <c r="E99" i="8"/>
  <c r="E20" i="8" s="1"/>
  <c r="E22" i="8" s="1"/>
  <c r="E57" i="8"/>
  <c r="H43" i="8"/>
  <c r="G43" i="8"/>
  <c r="F43" i="8"/>
  <c r="E43" i="8"/>
  <c r="D42" i="8"/>
  <c r="D41" i="8"/>
  <c r="D40" i="8"/>
  <c r="D39" i="8"/>
  <c r="D38" i="8"/>
  <c r="H35" i="8"/>
  <c r="G35" i="8"/>
  <c r="F35" i="8"/>
  <c r="E35" i="8"/>
  <c r="D34" i="8"/>
  <c r="D33" i="8"/>
  <c r="D32" i="8"/>
  <c r="D31" i="8"/>
  <c r="D26" i="8"/>
  <c r="D21" i="8"/>
  <c r="E43" i="6"/>
  <c r="F43" i="6"/>
  <c r="G43" i="6"/>
  <c r="H43" i="6"/>
  <c r="E35" i="6"/>
  <c r="F35" i="6"/>
  <c r="G35" i="6"/>
  <c r="H35" i="6"/>
  <c r="E99" i="6"/>
  <c r="E20" i="6" s="1"/>
  <c r="E22" i="6" s="1"/>
  <c r="D21" i="6"/>
  <c r="C29" i="7"/>
  <c r="C18" i="7"/>
  <c r="C26" i="7"/>
  <c r="C12" i="7"/>
  <c r="D35" i="8" l="1"/>
  <c r="D43" i="8"/>
  <c r="E65" i="11"/>
  <c r="F65" i="11" s="1"/>
  <c r="G65" i="11" s="1"/>
  <c r="H65" i="11" s="1"/>
  <c r="H63" i="11" s="1"/>
  <c r="H5" i="11" s="1"/>
  <c r="E70" i="42"/>
  <c r="E69" i="45"/>
  <c r="E70" i="41"/>
  <c r="E70" i="46"/>
  <c r="E73" i="40"/>
  <c r="E69" i="39"/>
  <c r="E69" i="26"/>
  <c r="E65" i="31"/>
  <c r="E65" i="30"/>
  <c r="E69" i="24"/>
  <c r="E69" i="21"/>
  <c r="E75" i="36"/>
  <c r="E65" i="34"/>
  <c r="E69" i="27"/>
  <c r="E69" i="25"/>
  <c r="E65" i="35"/>
  <c r="E65" i="33"/>
  <c r="E65" i="32"/>
  <c r="E69" i="29"/>
  <c r="E69" i="28"/>
  <c r="F28" i="16"/>
  <c r="D47" i="16"/>
  <c r="E49" i="20"/>
  <c r="D44" i="20"/>
  <c r="D49" i="20" s="1"/>
  <c r="H41" i="20"/>
  <c r="D37" i="20"/>
  <c r="D41" i="20" s="1"/>
  <c r="E65" i="10"/>
  <c r="F65" i="10" s="1"/>
  <c r="G65" i="10" s="1"/>
  <c r="E71" i="20"/>
  <c r="E65" i="19"/>
  <c r="E65" i="18"/>
  <c r="E65" i="14"/>
  <c r="E65" i="13"/>
  <c r="E65" i="15"/>
  <c r="E65" i="16"/>
  <c r="D26" i="15"/>
  <c r="E63" i="11"/>
  <c r="E5" i="11" s="1"/>
  <c r="D47" i="15"/>
  <c r="G105" i="15"/>
  <c r="G25" i="15" s="1"/>
  <c r="G28" i="15" s="1"/>
  <c r="G105" i="16"/>
  <c r="G25" i="16" s="1"/>
  <c r="H107" i="16"/>
  <c r="H105" i="16" s="1"/>
  <c r="H25" i="16" s="1"/>
  <c r="H28" i="16" s="1"/>
  <c r="H107" i="14"/>
  <c r="H105" i="14" s="1"/>
  <c r="H25" i="14" s="1"/>
  <c r="H28" i="14" s="1"/>
  <c r="G105" i="14"/>
  <c r="G25" i="14" s="1"/>
  <c r="H107" i="13"/>
  <c r="H105" i="13" s="1"/>
  <c r="H25" i="13" s="1"/>
  <c r="H28" i="13" s="1"/>
  <c r="G105" i="13"/>
  <c r="G25" i="13" s="1"/>
  <c r="G28" i="13" s="1"/>
  <c r="D26" i="11"/>
  <c r="D47" i="11"/>
  <c r="D48" i="11" s="1"/>
  <c r="D35" i="11"/>
  <c r="D43" i="11"/>
  <c r="E105" i="11"/>
  <c r="E25" i="11" s="1"/>
  <c r="E28" i="11" s="1"/>
  <c r="D47" i="10"/>
  <c r="D48" i="10" s="1"/>
  <c r="E48" i="10"/>
  <c r="G107" i="11"/>
  <c r="F105" i="11"/>
  <c r="F25" i="11" s="1"/>
  <c r="F28" i="11" s="1"/>
  <c r="E48" i="11"/>
  <c r="E22" i="11"/>
  <c r="D35" i="10"/>
  <c r="D43" i="10"/>
  <c r="E105" i="10"/>
  <c r="E25" i="10" s="1"/>
  <c r="E28" i="10" s="1"/>
  <c r="F105" i="10"/>
  <c r="F25" i="10" s="1"/>
  <c r="G107" i="10"/>
  <c r="E22" i="10"/>
  <c r="E105" i="8"/>
  <c r="E25" i="8" s="1"/>
  <c r="E28" i="8" s="1"/>
  <c r="E65" i="8"/>
  <c r="C8" i="7"/>
  <c r="C43" i="7" s="1"/>
  <c r="C51" i="7" s="1"/>
  <c r="C52" i="7" s="1"/>
  <c r="F105" i="8"/>
  <c r="F25" i="8" s="1"/>
  <c r="F28" i="8" s="1"/>
  <c r="G105" i="8"/>
  <c r="G25" i="8" s="1"/>
  <c r="G28" i="8" s="1"/>
  <c r="F105" i="6"/>
  <c r="F25" i="6" s="1"/>
  <c r="F28" i="6" s="1"/>
  <c r="G107" i="6"/>
  <c r="E105" i="6"/>
  <c r="E25" i="6" s="1"/>
  <c r="E28" i="6" s="1"/>
  <c r="E65" i="6"/>
  <c r="B27" i="3"/>
  <c r="B26" i="3"/>
  <c r="C25" i="3"/>
  <c r="B25" i="3" s="1"/>
  <c r="E57" i="6"/>
  <c r="D42" i="6"/>
  <c r="D41" i="6"/>
  <c r="D40" i="6"/>
  <c r="D39" i="6"/>
  <c r="D38" i="6"/>
  <c r="D34" i="6"/>
  <c r="D33" i="6"/>
  <c r="D32" i="6"/>
  <c r="D31" i="6"/>
  <c r="D26" i="6"/>
  <c r="E3" i="6"/>
  <c r="F3" i="6" s="1"/>
  <c r="G3" i="6" s="1"/>
  <c r="H3" i="6" s="1"/>
  <c r="E63" i="8" l="1"/>
  <c r="E5" i="8" s="1"/>
  <c r="F65" i="8"/>
  <c r="G65" i="8" s="1"/>
  <c r="H65" i="8" s="1"/>
  <c r="H63" i="8" s="1"/>
  <c r="H5" i="8" s="1"/>
  <c r="E63" i="6"/>
  <c r="F65" i="6"/>
  <c r="F63" i="11"/>
  <c r="F5" i="11" s="1"/>
  <c r="F69" i="29"/>
  <c r="E67" i="29"/>
  <c r="E5" i="29" s="1"/>
  <c r="F69" i="25"/>
  <c r="E67" i="25"/>
  <c r="E5" i="25" s="1"/>
  <c r="E67" i="21"/>
  <c r="E5" i="21" s="1"/>
  <c r="F69" i="21"/>
  <c r="F69" i="26"/>
  <c r="E67" i="26"/>
  <c r="E5" i="26" s="1"/>
  <c r="F70" i="41"/>
  <c r="E68" i="41"/>
  <c r="E5" i="41" s="1"/>
  <c r="G104" i="19"/>
  <c r="H104" i="19"/>
  <c r="E104" i="19"/>
  <c r="E103" i="19" s="1"/>
  <c r="E99" i="19" s="1"/>
  <c r="E20" i="19" s="1"/>
  <c r="E22" i="19" s="1"/>
  <c r="F104" i="19"/>
  <c r="F65" i="32"/>
  <c r="E63" i="32"/>
  <c r="E5" i="32" s="1"/>
  <c r="F69" i="27"/>
  <c r="E67" i="27"/>
  <c r="E5" i="27" s="1"/>
  <c r="E67" i="24"/>
  <c r="E5" i="24" s="1"/>
  <c r="F69" i="24"/>
  <c r="E67" i="39"/>
  <c r="E5" i="39" s="1"/>
  <c r="F69" i="39"/>
  <c r="F69" i="45"/>
  <c r="E67" i="45"/>
  <c r="E5" i="45" s="1"/>
  <c r="F65" i="33"/>
  <c r="E63" i="33"/>
  <c r="E5" i="33" s="1"/>
  <c r="F65" i="34"/>
  <c r="E63" i="34"/>
  <c r="E5" i="34" s="1"/>
  <c r="F65" i="30"/>
  <c r="E63" i="30"/>
  <c r="E5" i="30" s="1"/>
  <c r="F73" i="40"/>
  <c r="E71" i="40"/>
  <c r="E6" i="40" s="1"/>
  <c r="E68" i="42"/>
  <c r="E5" i="42" s="1"/>
  <c r="F70" i="42"/>
  <c r="F69" i="28"/>
  <c r="E67" i="28"/>
  <c r="E5" i="28" s="1"/>
  <c r="F65" i="35"/>
  <c r="E63" i="35"/>
  <c r="E5" i="35" s="1"/>
  <c r="F75" i="36"/>
  <c r="E73" i="36"/>
  <c r="E6" i="36" s="1"/>
  <c r="F65" i="31"/>
  <c r="E63" i="31"/>
  <c r="E5" i="31" s="1"/>
  <c r="F70" i="46"/>
  <c r="E68" i="46"/>
  <c r="E6" i="46" s="1"/>
  <c r="C23" i="7"/>
  <c r="C22" i="7" s="1"/>
  <c r="F106" i="26" s="1"/>
  <c r="G106" i="26" s="1"/>
  <c r="H106" i="26" s="1"/>
  <c r="E63" i="10"/>
  <c r="E5" i="10" s="1"/>
  <c r="F63" i="10"/>
  <c r="F5" i="10" s="1"/>
  <c r="F65" i="19"/>
  <c r="E63" i="19"/>
  <c r="E5" i="19" s="1"/>
  <c r="F65" i="14"/>
  <c r="E63" i="14"/>
  <c r="E5" i="14" s="1"/>
  <c r="F71" i="20"/>
  <c r="E69" i="20"/>
  <c r="E6" i="20" s="1"/>
  <c r="F65" i="16"/>
  <c r="E63" i="16"/>
  <c r="E5" i="16" s="1"/>
  <c r="F65" i="18"/>
  <c r="E63" i="18"/>
  <c r="E5" i="18" s="1"/>
  <c r="E63" i="13"/>
  <c r="E5" i="13" s="1"/>
  <c r="F65" i="13"/>
  <c r="F65" i="15"/>
  <c r="E63" i="15"/>
  <c r="E5" i="15" s="1"/>
  <c r="D25" i="15"/>
  <c r="D28" i="15" s="1"/>
  <c r="G63" i="11"/>
  <c r="G5" i="11" s="1"/>
  <c r="D5" i="11" s="1"/>
  <c r="G28" i="16"/>
  <c r="D25" i="16"/>
  <c r="D28" i="16" s="1"/>
  <c r="G28" i="14"/>
  <c r="D25" i="14"/>
  <c r="D28" i="14" s="1"/>
  <c r="D25" i="13"/>
  <c r="D28" i="13" s="1"/>
  <c r="H107" i="11"/>
  <c r="H105" i="11" s="1"/>
  <c r="H25" i="11" s="1"/>
  <c r="H28" i="11" s="1"/>
  <c r="G105" i="11"/>
  <c r="G25" i="11" s="1"/>
  <c r="G28" i="11" s="1"/>
  <c r="F28" i="10"/>
  <c r="G63" i="10"/>
  <c r="G5" i="10" s="1"/>
  <c r="H65" i="10"/>
  <c r="H63" i="10" s="1"/>
  <c r="H5" i="10" s="1"/>
  <c r="H107" i="10"/>
  <c r="H105" i="10" s="1"/>
  <c r="H25" i="10" s="1"/>
  <c r="H28" i="10" s="1"/>
  <c r="G105" i="10"/>
  <c r="G25" i="10" s="1"/>
  <c r="G28" i="10" s="1"/>
  <c r="D25" i="8"/>
  <c r="D28" i="8" s="1"/>
  <c r="G105" i="6"/>
  <c r="G25" i="6" s="1"/>
  <c r="G28" i="6" s="1"/>
  <c r="H107" i="6"/>
  <c r="H105" i="6" s="1"/>
  <c r="H25" i="6" s="1"/>
  <c r="D35" i="6"/>
  <c r="D43" i="6"/>
  <c r="E5" i="6"/>
  <c r="B5" i="3"/>
  <c r="D7" i="4"/>
  <c r="D6" i="4"/>
  <c r="F63" i="6" l="1"/>
  <c r="F5" i="6" s="1"/>
  <c r="G65" i="6"/>
  <c r="F106" i="39"/>
  <c r="G106" i="39" s="1"/>
  <c r="H106" i="39" s="1"/>
  <c r="E17" i="3"/>
  <c r="D16" i="3"/>
  <c r="C13" i="3"/>
  <c r="E14" i="3"/>
  <c r="C17" i="3"/>
  <c r="E13" i="3"/>
  <c r="E15" i="3"/>
  <c r="C16" i="3"/>
  <c r="E16" i="3"/>
  <c r="D17" i="3"/>
  <c r="D13" i="3"/>
  <c r="C15" i="3"/>
  <c r="D14" i="3"/>
  <c r="C14" i="3"/>
  <c r="D15" i="3"/>
  <c r="E92" i="47"/>
  <c r="H92" i="47"/>
  <c r="G92" i="47"/>
  <c r="F92" i="47"/>
  <c r="G128" i="46"/>
  <c r="F96" i="45"/>
  <c r="H97" i="42"/>
  <c r="H97" i="41"/>
  <c r="F128" i="46"/>
  <c r="E96" i="45"/>
  <c r="G97" i="42"/>
  <c r="G97" i="41"/>
  <c r="E128" i="46"/>
  <c r="H96" i="45"/>
  <c r="F97" i="42"/>
  <c r="F97" i="41"/>
  <c r="H128" i="46"/>
  <c r="G96" i="45"/>
  <c r="E97" i="42"/>
  <c r="E97" i="41"/>
  <c r="H132" i="40"/>
  <c r="G132" i="40"/>
  <c r="F132" i="40"/>
  <c r="E132" i="40"/>
  <c r="F96" i="39"/>
  <c r="E96" i="39"/>
  <c r="H96" i="39"/>
  <c r="G96" i="39"/>
  <c r="G150" i="36"/>
  <c r="H92" i="35"/>
  <c r="F92" i="34"/>
  <c r="E92" i="33"/>
  <c r="F92" i="32"/>
  <c r="H92" i="31"/>
  <c r="E92" i="30"/>
  <c r="H96" i="29"/>
  <c r="F96" i="28"/>
  <c r="F96" i="27"/>
  <c r="E96" i="26"/>
  <c r="F96" i="25"/>
  <c r="F96" i="24"/>
  <c r="E96" i="21"/>
  <c r="F150" i="36"/>
  <c r="G92" i="35"/>
  <c r="E92" i="34"/>
  <c r="H92" i="33"/>
  <c r="E92" i="32"/>
  <c r="G92" i="31"/>
  <c r="H92" i="30"/>
  <c r="G96" i="29"/>
  <c r="E96" i="28"/>
  <c r="E96" i="27"/>
  <c r="H96" i="26"/>
  <c r="E96" i="25"/>
  <c r="E96" i="24"/>
  <c r="H96" i="21"/>
  <c r="E150" i="36"/>
  <c r="F92" i="35"/>
  <c r="H92" i="34"/>
  <c r="G92" i="33"/>
  <c r="H92" i="32"/>
  <c r="F92" i="31"/>
  <c r="G92" i="30"/>
  <c r="F96" i="29"/>
  <c r="H96" i="28"/>
  <c r="H96" i="27"/>
  <c r="G96" i="26"/>
  <c r="H96" i="25"/>
  <c r="H96" i="24"/>
  <c r="G96" i="21"/>
  <c r="H150" i="36"/>
  <c r="E92" i="35"/>
  <c r="G92" i="34"/>
  <c r="F92" i="33"/>
  <c r="G92" i="32"/>
  <c r="E92" i="31"/>
  <c r="F92" i="30"/>
  <c r="E96" i="29"/>
  <c r="G96" i="28"/>
  <c r="G96" i="27"/>
  <c r="F96" i="26"/>
  <c r="G96" i="25"/>
  <c r="G96" i="24"/>
  <c r="F96" i="21"/>
  <c r="E124" i="20"/>
  <c r="G124" i="20"/>
  <c r="H124" i="20"/>
  <c r="F124" i="20"/>
  <c r="F92" i="19"/>
  <c r="F92" i="18"/>
  <c r="E92" i="19"/>
  <c r="E92" i="18"/>
  <c r="H92" i="19"/>
  <c r="H92" i="18"/>
  <c r="G92" i="19"/>
  <c r="G92" i="18"/>
  <c r="H92" i="16"/>
  <c r="H92" i="15"/>
  <c r="E92" i="14"/>
  <c r="E92" i="13"/>
  <c r="G92" i="16"/>
  <c r="G92" i="15"/>
  <c r="H92" i="14"/>
  <c r="H92" i="13"/>
  <c r="F92" i="16"/>
  <c r="F92" i="15"/>
  <c r="G92" i="14"/>
  <c r="G92" i="13"/>
  <c r="E92" i="16"/>
  <c r="E92" i="15"/>
  <c r="F92" i="14"/>
  <c r="F92" i="13"/>
  <c r="E92" i="11"/>
  <c r="E92" i="10"/>
  <c r="G92" i="8"/>
  <c r="G87" i="8" s="1"/>
  <c r="G10" i="8" s="1"/>
  <c r="H92" i="11"/>
  <c r="H92" i="10"/>
  <c r="H92" i="8"/>
  <c r="H87" i="8" s="1"/>
  <c r="H10" i="8" s="1"/>
  <c r="G92" i="11"/>
  <c r="G92" i="10"/>
  <c r="E92" i="8"/>
  <c r="E87" i="8" s="1"/>
  <c r="E10" i="8" s="1"/>
  <c r="F92" i="11"/>
  <c r="F92" i="10"/>
  <c r="F92" i="8"/>
  <c r="F87" i="8" s="1"/>
  <c r="F10" i="8" s="1"/>
  <c r="F102" i="11"/>
  <c r="G102" i="11" s="1"/>
  <c r="H102" i="11" s="1"/>
  <c r="F102" i="15"/>
  <c r="G102" i="15" s="1"/>
  <c r="F135" i="20"/>
  <c r="G135" i="20" s="1"/>
  <c r="H135" i="20" s="1"/>
  <c r="F106" i="21"/>
  <c r="G106" i="21" s="1"/>
  <c r="H106" i="21" s="1"/>
  <c r="F102" i="34"/>
  <c r="G102" i="34" s="1"/>
  <c r="H102" i="34" s="1"/>
  <c r="F102" i="47"/>
  <c r="G102" i="47" s="1"/>
  <c r="H102" i="47" s="1"/>
  <c r="F102" i="8"/>
  <c r="G102" i="8" s="1"/>
  <c r="F102" i="16"/>
  <c r="G102" i="16" s="1"/>
  <c r="F102" i="33"/>
  <c r="G102" i="33" s="1"/>
  <c r="H102" i="33" s="1"/>
  <c r="F106" i="24"/>
  <c r="G106" i="24" s="1"/>
  <c r="H106" i="24" s="1"/>
  <c r="F102" i="35"/>
  <c r="G102" i="35" s="1"/>
  <c r="H102" i="35" s="1"/>
  <c r="F67" i="24"/>
  <c r="F5" i="24" s="1"/>
  <c r="G69" i="24"/>
  <c r="F106" i="27"/>
  <c r="G106" i="27" s="1"/>
  <c r="H106" i="27" s="1"/>
  <c r="F68" i="46"/>
  <c r="F6" i="46" s="1"/>
  <c r="G70" i="46"/>
  <c r="G75" i="36"/>
  <c r="F73" i="36"/>
  <c r="F6" i="36" s="1"/>
  <c r="G69" i="28"/>
  <c r="F67" i="28"/>
  <c r="F5" i="28" s="1"/>
  <c r="G73" i="40"/>
  <c r="F71" i="40"/>
  <c r="F6" i="40" s="1"/>
  <c r="F63" i="34"/>
  <c r="F5" i="34" s="1"/>
  <c r="G65" i="34"/>
  <c r="F67" i="45"/>
  <c r="F5" i="45" s="1"/>
  <c r="G69" i="45"/>
  <c r="G65" i="32"/>
  <c r="F63" i="32"/>
  <c r="F5" i="32" s="1"/>
  <c r="F67" i="26"/>
  <c r="F5" i="26" s="1"/>
  <c r="G69" i="26"/>
  <c r="G69" i="25"/>
  <c r="F67" i="25"/>
  <c r="F5" i="25" s="1"/>
  <c r="D65" i="4"/>
  <c r="H218" i="46" s="1"/>
  <c r="E13" i="22"/>
  <c r="C182" i="39" s="1"/>
  <c r="E12" i="22"/>
  <c r="C178" i="42" s="1"/>
  <c r="E11" i="22"/>
  <c r="C178" i="41" s="1"/>
  <c r="G174" i="34"/>
  <c r="G40" i="34" s="1"/>
  <c r="G43" i="34" s="1"/>
  <c r="F174" i="33"/>
  <c r="F40" i="33" s="1"/>
  <c r="F43" i="33" s="1"/>
  <c r="E7" i="22"/>
  <c r="C177" i="26" s="1"/>
  <c r="E174" i="34"/>
  <c r="E40" i="34" s="1"/>
  <c r="E5" i="22"/>
  <c r="C177" i="24" s="1"/>
  <c r="F174" i="34"/>
  <c r="F40" i="34" s="1"/>
  <c r="F43" i="34" s="1"/>
  <c r="G174" i="33"/>
  <c r="G40" i="33" s="1"/>
  <c r="G43" i="33" s="1"/>
  <c r="H174" i="33"/>
  <c r="H40" i="33" s="1"/>
  <c r="H43" i="33" s="1"/>
  <c r="H174" i="34"/>
  <c r="H40" i="34" s="1"/>
  <c r="H43" i="34" s="1"/>
  <c r="E174" i="33"/>
  <c r="E40" i="33" s="1"/>
  <c r="E10" i="22"/>
  <c r="C177" i="29" s="1"/>
  <c r="E6" i="22"/>
  <c r="C177" i="25" s="1"/>
  <c r="E4" i="22"/>
  <c r="C177" i="21" s="1"/>
  <c r="G70" i="42"/>
  <c r="F68" i="42"/>
  <c r="F5" i="42" s="1"/>
  <c r="G69" i="39"/>
  <c r="F67" i="39"/>
  <c r="F5" i="39" s="1"/>
  <c r="G69" i="21"/>
  <c r="F67" i="21"/>
  <c r="F5" i="21" s="1"/>
  <c r="C31" i="7"/>
  <c r="F137" i="46" s="1"/>
  <c r="E8" i="22"/>
  <c r="C177" i="27" s="1"/>
  <c r="E9" i="22"/>
  <c r="C177" i="28" s="1"/>
  <c r="F139" i="46"/>
  <c r="G139" i="46" s="1"/>
  <c r="H139" i="46" s="1"/>
  <c r="F102" i="19"/>
  <c r="G102" i="19" s="1"/>
  <c r="H102" i="19" s="1"/>
  <c r="G65" i="31"/>
  <c r="F63" i="31"/>
  <c r="F5" i="31" s="1"/>
  <c r="F63" i="35"/>
  <c r="F5" i="35" s="1"/>
  <c r="G65" i="35"/>
  <c r="F63" i="30"/>
  <c r="F5" i="30" s="1"/>
  <c r="G65" i="30"/>
  <c r="G65" i="33"/>
  <c r="F63" i="33"/>
  <c r="F5" i="33" s="1"/>
  <c r="F67" i="27"/>
  <c r="F5" i="27" s="1"/>
  <c r="G69" i="27"/>
  <c r="G70" i="41"/>
  <c r="F68" i="41"/>
  <c r="F5" i="41" s="1"/>
  <c r="F67" i="29"/>
  <c r="F5" i="29" s="1"/>
  <c r="G69" i="29"/>
  <c r="G218" i="46"/>
  <c r="F218" i="46"/>
  <c r="F143" i="40"/>
  <c r="G143" i="40" s="1"/>
  <c r="H143" i="40" s="1"/>
  <c r="F106" i="45"/>
  <c r="G106" i="45" s="1"/>
  <c r="H106" i="45" s="1"/>
  <c r="F107" i="42"/>
  <c r="G107" i="42" s="1"/>
  <c r="H107" i="42" s="1"/>
  <c r="F107" i="41"/>
  <c r="G107" i="41" s="1"/>
  <c r="H107" i="41" s="1"/>
  <c r="F102" i="10"/>
  <c r="G102" i="10" s="1"/>
  <c r="H102" i="10" s="1"/>
  <c r="F102" i="14"/>
  <c r="G102" i="14" s="1"/>
  <c r="F102" i="18"/>
  <c r="G102" i="18" s="1"/>
  <c r="F106" i="28"/>
  <c r="G106" i="28" s="1"/>
  <c r="H106" i="28" s="1"/>
  <c r="F106" i="29"/>
  <c r="G106" i="29" s="1"/>
  <c r="H106" i="29" s="1"/>
  <c r="F102" i="31"/>
  <c r="G102" i="31" s="1"/>
  <c r="H102" i="31" s="1"/>
  <c r="F161" i="36"/>
  <c r="G161" i="36" s="1"/>
  <c r="H161" i="36" s="1"/>
  <c r="F102" i="6"/>
  <c r="G102" i="6" s="1"/>
  <c r="F102" i="13"/>
  <c r="G102" i="13" s="1"/>
  <c r="F106" i="25"/>
  <c r="G106" i="25" s="1"/>
  <c r="H106" i="25" s="1"/>
  <c r="F102" i="32"/>
  <c r="G102" i="32" s="1"/>
  <c r="H102" i="32" s="1"/>
  <c r="F102" i="30"/>
  <c r="G102" i="30" s="1"/>
  <c r="H102" i="30" s="1"/>
  <c r="H154" i="45"/>
  <c r="G154" i="45"/>
  <c r="G155" i="42"/>
  <c r="F155" i="42"/>
  <c r="G155" i="41"/>
  <c r="F155" i="41"/>
  <c r="G226" i="40"/>
  <c r="H248" i="36"/>
  <c r="G152" i="35"/>
  <c r="F152" i="35"/>
  <c r="H152" i="34"/>
  <c r="G152" i="34"/>
  <c r="G152" i="33"/>
  <c r="F152" i="33"/>
  <c r="G152" i="32"/>
  <c r="F152" i="30"/>
  <c r="H154" i="29"/>
  <c r="G154" i="29"/>
  <c r="H104" i="29"/>
  <c r="F154" i="28"/>
  <c r="G154" i="28"/>
  <c r="H154" i="27"/>
  <c r="F154" i="27"/>
  <c r="G154" i="25"/>
  <c r="G154" i="24"/>
  <c r="F154" i="24"/>
  <c r="G154" i="21"/>
  <c r="H154" i="21"/>
  <c r="H152" i="19"/>
  <c r="F150" i="18"/>
  <c r="F207" i="20"/>
  <c r="G152" i="19"/>
  <c r="H150" i="18"/>
  <c r="G147" i="16"/>
  <c r="G145" i="16" s="1"/>
  <c r="G46" i="16" s="1"/>
  <c r="G48" i="16" s="1"/>
  <c r="H147" i="15"/>
  <c r="H145" i="15" s="1"/>
  <c r="H46" i="15" s="1"/>
  <c r="H48" i="15" s="1"/>
  <c r="F63" i="18"/>
  <c r="F5" i="18" s="1"/>
  <c r="G65" i="18"/>
  <c r="F69" i="20"/>
  <c r="F6" i="20" s="1"/>
  <c r="G71" i="20"/>
  <c r="G65" i="13"/>
  <c r="F63" i="13"/>
  <c r="F5" i="13" s="1"/>
  <c r="G65" i="15"/>
  <c r="F63" i="15"/>
  <c r="F5" i="15" s="1"/>
  <c r="G65" i="16"/>
  <c r="F63" i="16"/>
  <c r="F5" i="16" s="1"/>
  <c r="F63" i="14"/>
  <c r="F5" i="14" s="1"/>
  <c r="G65" i="14"/>
  <c r="G65" i="19"/>
  <c r="F63" i="19"/>
  <c r="F5" i="19" s="1"/>
  <c r="F63" i="8"/>
  <c r="F5" i="8" s="1"/>
  <c r="D25" i="11"/>
  <c r="D28" i="11" s="1"/>
  <c r="G63" i="8"/>
  <c r="G5" i="8" s="1"/>
  <c r="D5" i="10"/>
  <c r="D25" i="10"/>
  <c r="D28" i="10" s="1"/>
  <c r="E12" i="3"/>
  <c r="C12" i="3"/>
  <c r="D12" i="3"/>
  <c r="D13" i="4"/>
  <c r="E69" i="47" s="1"/>
  <c r="D25" i="6"/>
  <c r="D28" i="6" s="1"/>
  <c r="H28" i="6"/>
  <c r="H207" i="20" l="1"/>
  <c r="F154" i="25"/>
  <c r="H152" i="30"/>
  <c r="G248" i="36"/>
  <c r="F152" i="19"/>
  <c r="F154" i="26"/>
  <c r="F152" i="31"/>
  <c r="F156" i="39"/>
  <c r="F155" i="39" s="1"/>
  <c r="H147" i="16"/>
  <c r="H145" i="16" s="1"/>
  <c r="H46" i="16" s="1"/>
  <c r="H48" i="16" s="1"/>
  <c r="G154" i="26"/>
  <c r="G150" i="26" s="1"/>
  <c r="G152" i="31"/>
  <c r="G156" i="39"/>
  <c r="G147" i="15"/>
  <c r="G145" i="15" s="1"/>
  <c r="G46" i="15" s="1"/>
  <c r="G48" i="15" s="1"/>
  <c r="G154" i="27"/>
  <c r="H152" i="32"/>
  <c r="H226" i="40"/>
  <c r="H65" i="6"/>
  <c r="H63" i="6" s="1"/>
  <c r="H5" i="6" s="1"/>
  <c r="G63" i="6"/>
  <c r="G5" i="6" s="1"/>
  <c r="B14" i="3"/>
  <c r="B13" i="3"/>
  <c r="B15" i="3"/>
  <c r="B12" i="3"/>
  <c r="C28" i="3"/>
  <c r="B28" i="3" s="1"/>
  <c r="B29" i="3" s="1"/>
  <c r="E102" i="42" s="1"/>
  <c r="B16" i="3"/>
  <c r="B17" i="3"/>
  <c r="D10" i="8"/>
  <c r="G100" i="14"/>
  <c r="G100" i="18"/>
  <c r="G99" i="18" s="1"/>
  <c r="G20" i="18" s="1"/>
  <c r="G22" i="18" s="1"/>
  <c r="G104" i="27"/>
  <c r="G103" i="27" s="1"/>
  <c r="G20" i="27" s="1"/>
  <c r="G22" i="27" s="1"/>
  <c r="H137" i="46"/>
  <c r="H136" i="46" s="1"/>
  <c r="H24" i="46" s="1"/>
  <c r="H26" i="46" s="1"/>
  <c r="H100" i="16"/>
  <c r="G104" i="24"/>
  <c r="G103" i="24" s="1"/>
  <c r="G20" i="24" s="1"/>
  <c r="G22" i="24" s="1"/>
  <c r="F100" i="31"/>
  <c r="F99" i="31" s="1"/>
  <c r="F20" i="31" s="1"/>
  <c r="F22" i="31" s="1"/>
  <c r="F133" i="20"/>
  <c r="F132" i="20" s="1"/>
  <c r="F25" i="20" s="1"/>
  <c r="F27" i="20" s="1"/>
  <c r="G104" i="21"/>
  <c r="G103" i="21" s="1"/>
  <c r="G20" i="21" s="1"/>
  <c r="G22" i="21" s="1"/>
  <c r="G104" i="26"/>
  <c r="G103" i="26" s="1"/>
  <c r="G20" i="26" s="1"/>
  <c r="G22" i="26" s="1"/>
  <c r="F100" i="30"/>
  <c r="F99" i="30" s="1"/>
  <c r="F20" i="30" s="1"/>
  <c r="F100" i="33"/>
  <c r="F99" i="33" s="1"/>
  <c r="F20" i="33" s="1"/>
  <c r="F22" i="33" s="1"/>
  <c r="H104" i="39"/>
  <c r="H103" i="39" s="1"/>
  <c r="H20" i="39" s="1"/>
  <c r="H22" i="39" s="1"/>
  <c r="F100" i="35"/>
  <c r="F99" i="35" s="1"/>
  <c r="F20" i="35" s="1"/>
  <c r="F22" i="35" s="1"/>
  <c r="G105" i="41"/>
  <c r="G104" i="41" s="1"/>
  <c r="G20" i="41" s="1"/>
  <c r="G22" i="41" s="1"/>
  <c r="F100" i="34"/>
  <c r="F99" i="34" s="1"/>
  <c r="F20" i="34" s="1"/>
  <c r="F22" i="34" s="1"/>
  <c r="G159" i="36"/>
  <c r="G158" i="36" s="1"/>
  <c r="G29" i="36" s="1"/>
  <c r="G31" i="36" s="1"/>
  <c r="H141" i="40"/>
  <c r="H140" i="40" s="1"/>
  <c r="H27" i="40" s="1"/>
  <c r="H29" i="40" s="1"/>
  <c r="H104" i="45"/>
  <c r="H103" i="45" s="1"/>
  <c r="H20" i="45" s="1"/>
  <c r="H22" i="45" s="1"/>
  <c r="E97" i="47"/>
  <c r="G100" i="47"/>
  <c r="G99" i="47" s="1"/>
  <c r="G20" i="47" s="1"/>
  <c r="G22" i="47" s="1"/>
  <c r="F100" i="47"/>
  <c r="F99" i="47" s="1"/>
  <c r="F20" i="47" s="1"/>
  <c r="H100" i="47"/>
  <c r="H99" i="47" s="1"/>
  <c r="H20" i="47" s="1"/>
  <c r="H22" i="47" s="1"/>
  <c r="H100" i="13"/>
  <c r="H104" i="24"/>
  <c r="H103" i="24" s="1"/>
  <c r="H20" i="24" s="1"/>
  <c r="H22" i="24" s="1"/>
  <c r="F104" i="25"/>
  <c r="F103" i="25" s="1"/>
  <c r="F20" i="25" s="1"/>
  <c r="F22" i="25" s="1"/>
  <c r="F104" i="28"/>
  <c r="F103" i="28" s="1"/>
  <c r="F20" i="28" s="1"/>
  <c r="F22" i="28" s="1"/>
  <c r="H100" i="30"/>
  <c r="H99" i="30" s="1"/>
  <c r="H20" i="30" s="1"/>
  <c r="H22" i="30" s="1"/>
  <c r="G100" i="31"/>
  <c r="G99" i="31" s="1"/>
  <c r="G20" i="31" s="1"/>
  <c r="G22" i="31" s="1"/>
  <c r="G100" i="34"/>
  <c r="G99" i="34" s="1"/>
  <c r="G20" i="34" s="1"/>
  <c r="G22" i="34" s="1"/>
  <c r="G100" i="35"/>
  <c r="G99" i="35" s="1"/>
  <c r="G20" i="35" s="1"/>
  <c r="G22" i="35" s="1"/>
  <c r="H159" i="36"/>
  <c r="H158" i="36" s="1"/>
  <c r="H29" i="36" s="1"/>
  <c r="H31" i="36" s="1"/>
  <c r="F141" i="40"/>
  <c r="F140" i="40" s="1"/>
  <c r="F27" i="40" s="1"/>
  <c r="F105" i="42"/>
  <c r="F104" i="42" s="1"/>
  <c r="F20" i="42" s="1"/>
  <c r="F22" i="42" s="1"/>
  <c r="F100" i="19"/>
  <c r="F99" i="19" s="1"/>
  <c r="F20" i="19" s="1"/>
  <c r="F22" i="19" s="1"/>
  <c r="E67" i="47"/>
  <c r="E6" i="47" s="1"/>
  <c r="F69" i="47"/>
  <c r="G100" i="13"/>
  <c r="G99" i="13" s="1"/>
  <c r="G20" i="13" s="1"/>
  <c r="G22" i="13" s="1"/>
  <c r="H100" i="18"/>
  <c r="H100" i="14"/>
  <c r="F100" i="15"/>
  <c r="F99" i="15" s="1"/>
  <c r="F20" i="15" s="1"/>
  <c r="F22" i="15" s="1"/>
  <c r="F100" i="14"/>
  <c r="F99" i="14" s="1"/>
  <c r="F20" i="14" s="1"/>
  <c r="F22" i="14" s="1"/>
  <c r="G133" i="20"/>
  <c r="G132" i="20" s="1"/>
  <c r="G25" i="20" s="1"/>
  <c r="G27" i="20" s="1"/>
  <c r="F100" i="16"/>
  <c r="F99" i="16" s="1"/>
  <c r="F20" i="16" s="1"/>
  <c r="F22" i="16" s="1"/>
  <c r="G100" i="15"/>
  <c r="G99" i="15" s="1"/>
  <c r="G20" i="15" s="1"/>
  <c r="G22" i="15" s="1"/>
  <c r="F100" i="18"/>
  <c r="F99" i="18" s="1"/>
  <c r="F20" i="18" s="1"/>
  <c r="F22" i="18" s="1"/>
  <c r="F104" i="21"/>
  <c r="F103" i="21" s="1"/>
  <c r="F20" i="21" s="1"/>
  <c r="H104" i="25"/>
  <c r="H103" i="25" s="1"/>
  <c r="H20" i="25" s="1"/>
  <c r="H22" i="25" s="1"/>
  <c r="F104" i="26"/>
  <c r="F103" i="26" s="1"/>
  <c r="F20" i="26" s="1"/>
  <c r="F22" i="26" s="1"/>
  <c r="F104" i="27"/>
  <c r="F103" i="27" s="1"/>
  <c r="F20" i="27" s="1"/>
  <c r="F22" i="27" s="1"/>
  <c r="H104" i="28"/>
  <c r="H103" i="28" s="1"/>
  <c r="H20" i="28" s="1"/>
  <c r="H22" i="28" s="1"/>
  <c r="G104" i="29"/>
  <c r="G103" i="29" s="1"/>
  <c r="G20" i="29" s="1"/>
  <c r="G22" i="29" s="1"/>
  <c r="G100" i="30"/>
  <c r="G99" i="30" s="1"/>
  <c r="G20" i="30" s="1"/>
  <c r="G22" i="30" s="1"/>
  <c r="F100" i="32"/>
  <c r="F99" i="32" s="1"/>
  <c r="F20" i="32" s="1"/>
  <c r="F22" i="32" s="1"/>
  <c r="H100" i="33"/>
  <c r="H99" i="33" s="1"/>
  <c r="H20" i="33" s="1"/>
  <c r="H22" i="33" s="1"/>
  <c r="H100" i="34"/>
  <c r="H99" i="34" s="1"/>
  <c r="H20" i="34" s="1"/>
  <c r="H22" i="34" s="1"/>
  <c r="F159" i="36"/>
  <c r="F158" i="36" s="1"/>
  <c r="F29" i="36" s="1"/>
  <c r="G104" i="39"/>
  <c r="G103" i="39" s="1"/>
  <c r="G20" i="39" s="1"/>
  <c r="G22" i="39" s="1"/>
  <c r="G141" i="40"/>
  <c r="G140" i="40" s="1"/>
  <c r="G27" i="40" s="1"/>
  <c r="G29" i="40" s="1"/>
  <c r="H105" i="42"/>
  <c r="H104" i="42" s="1"/>
  <c r="H20" i="42" s="1"/>
  <c r="H22" i="42" s="1"/>
  <c r="G104" i="45"/>
  <c r="G103" i="45" s="1"/>
  <c r="G20" i="45" s="1"/>
  <c r="G22" i="45" s="1"/>
  <c r="H100" i="19"/>
  <c r="H99" i="19" s="1"/>
  <c r="H20" i="19" s="1"/>
  <c r="H22" i="19" s="1"/>
  <c r="G137" i="46"/>
  <c r="G136" i="46" s="1"/>
  <c r="G24" i="46" s="1"/>
  <c r="G26" i="46" s="1"/>
  <c r="F154" i="45"/>
  <c r="F153" i="45" s="1"/>
  <c r="G152" i="47"/>
  <c r="H152" i="47"/>
  <c r="F152" i="47"/>
  <c r="H100" i="15"/>
  <c r="G100" i="16"/>
  <c r="G99" i="16" s="1"/>
  <c r="G20" i="16" s="1"/>
  <c r="G22" i="16" s="1"/>
  <c r="F100" i="13"/>
  <c r="F99" i="13" s="1"/>
  <c r="F20" i="13" s="1"/>
  <c r="F22" i="13" s="1"/>
  <c r="H104" i="21"/>
  <c r="H103" i="21" s="1"/>
  <c r="H20" i="21" s="1"/>
  <c r="H22" i="21" s="1"/>
  <c r="G100" i="32"/>
  <c r="G99" i="32" s="1"/>
  <c r="G20" i="32" s="1"/>
  <c r="G22" i="32" s="1"/>
  <c r="H105" i="41"/>
  <c r="H104" i="41" s="1"/>
  <c r="H20" i="41" s="1"/>
  <c r="H22" i="41" s="1"/>
  <c r="H133" i="20"/>
  <c r="H132" i="20" s="1"/>
  <c r="H25" i="20" s="1"/>
  <c r="H27" i="20" s="1"/>
  <c r="F104" i="24"/>
  <c r="F103" i="24" s="1"/>
  <c r="F20" i="24" s="1"/>
  <c r="F22" i="24" s="1"/>
  <c r="G104" i="25"/>
  <c r="G103" i="25" s="1"/>
  <c r="G20" i="25" s="1"/>
  <c r="G22" i="25" s="1"/>
  <c r="H104" i="26"/>
  <c r="H103" i="26" s="1"/>
  <c r="H20" i="26" s="1"/>
  <c r="H22" i="26" s="1"/>
  <c r="H104" i="27"/>
  <c r="H103" i="27" s="1"/>
  <c r="H20" i="27" s="1"/>
  <c r="H22" i="27" s="1"/>
  <c r="G104" i="28"/>
  <c r="G103" i="28" s="1"/>
  <c r="G20" i="28" s="1"/>
  <c r="G22" i="28" s="1"/>
  <c r="F104" i="29"/>
  <c r="F103" i="29" s="1"/>
  <c r="F20" i="29" s="1"/>
  <c r="F22" i="29" s="1"/>
  <c r="H100" i="31"/>
  <c r="H99" i="31" s="1"/>
  <c r="H20" i="31" s="1"/>
  <c r="H22" i="31" s="1"/>
  <c r="H100" i="32"/>
  <c r="H99" i="32" s="1"/>
  <c r="H20" i="32" s="1"/>
  <c r="H22" i="32" s="1"/>
  <c r="G100" i="33"/>
  <c r="G99" i="33" s="1"/>
  <c r="G20" i="33" s="1"/>
  <c r="G22" i="33" s="1"/>
  <c r="H100" i="35"/>
  <c r="H99" i="35" s="1"/>
  <c r="H20" i="35" s="1"/>
  <c r="H22" i="35" s="1"/>
  <c r="F104" i="39"/>
  <c r="F103" i="39" s="1"/>
  <c r="F20" i="39" s="1"/>
  <c r="F22" i="39" s="1"/>
  <c r="F105" i="41"/>
  <c r="G105" i="42"/>
  <c r="G104" i="42" s="1"/>
  <c r="G20" i="42" s="1"/>
  <c r="G22" i="42" s="1"/>
  <c r="F104" i="45"/>
  <c r="F103" i="45" s="1"/>
  <c r="F20" i="45" s="1"/>
  <c r="F22" i="45" s="1"/>
  <c r="G100" i="19"/>
  <c r="G99" i="19" s="1"/>
  <c r="G20" i="19" s="1"/>
  <c r="G22" i="19" s="1"/>
  <c r="F104" i="41"/>
  <c r="F20" i="41" s="1"/>
  <c r="F22" i="41" s="1"/>
  <c r="F147" i="16"/>
  <c r="F145" i="16" s="1"/>
  <c r="F46" i="16" s="1"/>
  <c r="F48" i="16" s="1"/>
  <c r="F147" i="15"/>
  <c r="F145" i="15" s="1"/>
  <c r="F46" i="15" s="1"/>
  <c r="D46" i="15" s="1"/>
  <c r="D48" i="15" s="1"/>
  <c r="G150" i="18"/>
  <c r="G149" i="18" s="1"/>
  <c r="G207" i="20"/>
  <c r="G203" i="20" s="1"/>
  <c r="F154" i="21"/>
  <c r="F150" i="21" s="1"/>
  <c r="H154" i="24"/>
  <c r="H153" i="24" s="1"/>
  <c r="H154" i="25"/>
  <c r="H150" i="25" s="1"/>
  <c r="H154" i="26"/>
  <c r="H153" i="26" s="1"/>
  <c r="H154" i="28"/>
  <c r="H153" i="28" s="1"/>
  <c r="F154" i="29"/>
  <c r="F150" i="29" s="1"/>
  <c r="G152" i="30"/>
  <c r="G151" i="30" s="1"/>
  <c r="H152" i="31"/>
  <c r="H151" i="31" s="1"/>
  <c r="F152" i="32"/>
  <c r="F151" i="32" s="1"/>
  <c r="H152" i="33"/>
  <c r="H148" i="33" s="1"/>
  <c r="F152" i="34"/>
  <c r="F148" i="34" s="1"/>
  <c r="H152" i="35"/>
  <c r="H148" i="35" s="1"/>
  <c r="F248" i="36"/>
  <c r="F247" i="36" s="1"/>
  <c r="H156" i="39"/>
  <c r="H152" i="39" s="1"/>
  <c r="F226" i="40"/>
  <c r="F225" i="40" s="1"/>
  <c r="H155" i="41"/>
  <c r="H154" i="41" s="1"/>
  <c r="H155" i="42"/>
  <c r="H154" i="42" s="1"/>
  <c r="H103" i="29"/>
  <c r="H20" i="29" s="1"/>
  <c r="H22" i="29" s="1"/>
  <c r="F136" i="46"/>
  <c r="F24" i="46" s="1"/>
  <c r="F26" i="46" s="1"/>
  <c r="G67" i="29"/>
  <c r="G5" i="29" s="1"/>
  <c r="H69" i="29"/>
  <c r="H67" i="29" s="1"/>
  <c r="H5" i="29" s="1"/>
  <c r="H65" i="31"/>
  <c r="H63" i="31" s="1"/>
  <c r="H5" i="31" s="1"/>
  <c r="G63" i="31"/>
  <c r="G5" i="31" s="1"/>
  <c r="H178" i="25"/>
  <c r="H46" i="25" s="1"/>
  <c r="H47" i="25" s="1"/>
  <c r="G178" i="25"/>
  <c r="G46" i="25" s="1"/>
  <c r="G47" i="25" s="1"/>
  <c r="F178" i="25"/>
  <c r="F46" i="25" s="1"/>
  <c r="F47" i="25" s="1"/>
  <c r="E178" i="25"/>
  <c r="E46" i="25" s="1"/>
  <c r="G68" i="46"/>
  <c r="G6" i="46" s="1"/>
  <c r="H70" i="46"/>
  <c r="H68" i="46" s="1"/>
  <c r="H6" i="46" s="1"/>
  <c r="H65" i="33"/>
  <c r="H63" i="33" s="1"/>
  <c r="H5" i="33" s="1"/>
  <c r="G63" i="33"/>
  <c r="G5" i="33" s="1"/>
  <c r="G63" i="35"/>
  <c r="G5" i="35" s="1"/>
  <c r="H65" i="35"/>
  <c r="H63" i="35" s="1"/>
  <c r="H5" i="35" s="1"/>
  <c r="G67" i="25"/>
  <c r="G5" i="25" s="1"/>
  <c r="H69" i="25"/>
  <c r="H67" i="25" s="1"/>
  <c r="H5" i="25" s="1"/>
  <c r="H65" i="30"/>
  <c r="H63" i="30" s="1"/>
  <c r="H5" i="30" s="1"/>
  <c r="G63" i="30"/>
  <c r="G5" i="30" s="1"/>
  <c r="E43" i="33"/>
  <c r="D40" i="33"/>
  <c r="D43" i="33" s="1"/>
  <c r="H69" i="26"/>
  <c r="H67" i="26" s="1"/>
  <c r="H5" i="26" s="1"/>
  <c r="G67" i="26"/>
  <c r="G5" i="26" s="1"/>
  <c r="G67" i="45"/>
  <c r="G5" i="45" s="1"/>
  <c r="H69" i="45"/>
  <c r="H67" i="45" s="1"/>
  <c r="H5" i="45" s="1"/>
  <c r="H69" i="24"/>
  <c r="H67" i="24" s="1"/>
  <c r="H5" i="24" s="1"/>
  <c r="G67" i="24"/>
  <c r="G5" i="24" s="1"/>
  <c r="H70" i="41"/>
  <c r="H68" i="41" s="1"/>
  <c r="H5" i="41" s="1"/>
  <c r="G68" i="41"/>
  <c r="G5" i="41" s="1"/>
  <c r="G178" i="27"/>
  <c r="G46" i="27" s="1"/>
  <c r="G47" i="27" s="1"/>
  <c r="H178" i="27"/>
  <c r="H46" i="27" s="1"/>
  <c r="H47" i="27" s="1"/>
  <c r="E178" i="27"/>
  <c r="E46" i="27" s="1"/>
  <c r="F178" i="27"/>
  <c r="F46" i="27" s="1"/>
  <c r="F47" i="27" s="1"/>
  <c r="E43" i="34"/>
  <c r="D40" i="34"/>
  <c r="D43" i="34" s="1"/>
  <c r="E179" i="42"/>
  <c r="E46" i="42" s="1"/>
  <c r="H179" i="42"/>
  <c r="H46" i="42" s="1"/>
  <c r="H47" i="42" s="1"/>
  <c r="G179" i="42"/>
  <c r="G46" i="42" s="1"/>
  <c r="G47" i="42" s="1"/>
  <c r="F179" i="42"/>
  <c r="F46" i="42" s="1"/>
  <c r="F47" i="42" s="1"/>
  <c r="H65" i="34"/>
  <c r="H63" i="34" s="1"/>
  <c r="H5" i="34" s="1"/>
  <c r="G63" i="34"/>
  <c r="G5" i="34" s="1"/>
  <c r="H69" i="27"/>
  <c r="H67" i="27" s="1"/>
  <c r="H5" i="27" s="1"/>
  <c r="G67" i="27"/>
  <c r="G5" i="27" s="1"/>
  <c r="F178" i="29"/>
  <c r="F46" i="29" s="1"/>
  <c r="F47" i="29" s="1"/>
  <c r="G178" i="29"/>
  <c r="G46" i="29" s="1"/>
  <c r="G47" i="29" s="1"/>
  <c r="E178" i="29"/>
  <c r="E46" i="29" s="1"/>
  <c r="H178" i="29"/>
  <c r="H46" i="29" s="1"/>
  <c r="H47" i="29" s="1"/>
  <c r="H178" i="26"/>
  <c r="H46" i="26" s="1"/>
  <c r="H47" i="26" s="1"/>
  <c r="G178" i="26"/>
  <c r="G46" i="26" s="1"/>
  <c r="G47" i="26" s="1"/>
  <c r="F178" i="26"/>
  <c r="F46" i="26" s="1"/>
  <c r="F47" i="26" s="1"/>
  <c r="E178" i="26"/>
  <c r="E46" i="26" s="1"/>
  <c r="H183" i="39"/>
  <c r="H46" i="39" s="1"/>
  <c r="H47" i="39" s="1"/>
  <c r="G183" i="39"/>
  <c r="G46" i="39" s="1"/>
  <c r="G47" i="39" s="1"/>
  <c r="F183" i="39"/>
  <c r="F46" i="39" s="1"/>
  <c r="F47" i="39" s="1"/>
  <c r="E183" i="39"/>
  <c r="E46" i="39" s="1"/>
  <c r="G63" i="32"/>
  <c r="G5" i="32" s="1"/>
  <c r="H65" i="32"/>
  <c r="H63" i="32" s="1"/>
  <c r="H5" i="32" s="1"/>
  <c r="H69" i="28"/>
  <c r="H67" i="28" s="1"/>
  <c r="H5" i="28" s="1"/>
  <c r="G67" i="28"/>
  <c r="G5" i="28" s="1"/>
  <c r="H178" i="28"/>
  <c r="H46" i="28" s="1"/>
  <c r="H47" i="28" s="1"/>
  <c r="E178" i="28"/>
  <c r="E46" i="28" s="1"/>
  <c r="F178" i="28"/>
  <c r="F46" i="28" s="1"/>
  <c r="F47" i="28" s="1"/>
  <c r="G178" i="28"/>
  <c r="G46" i="28" s="1"/>
  <c r="G47" i="28" s="1"/>
  <c r="G67" i="21"/>
  <c r="G5" i="21" s="1"/>
  <c r="H69" i="21"/>
  <c r="H67" i="21" s="1"/>
  <c r="H5" i="21" s="1"/>
  <c r="H69" i="39"/>
  <c r="H67" i="39" s="1"/>
  <c r="H5" i="39" s="1"/>
  <c r="G67" i="39"/>
  <c r="G5" i="39" s="1"/>
  <c r="G68" i="42"/>
  <c r="G5" i="42" s="1"/>
  <c r="H70" i="42"/>
  <c r="H68" i="42" s="1"/>
  <c r="H5" i="42" s="1"/>
  <c r="E178" i="21"/>
  <c r="E46" i="21" s="1"/>
  <c r="F178" i="21"/>
  <c r="F46" i="21" s="1"/>
  <c r="F47" i="21" s="1"/>
  <c r="H178" i="21"/>
  <c r="H46" i="21" s="1"/>
  <c r="H47" i="21" s="1"/>
  <c r="G178" i="21"/>
  <c r="G46" i="21" s="1"/>
  <c r="G47" i="21" s="1"/>
  <c r="F178" i="24"/>
  <c r="F46" i="24" s="1"/>
  <c r="F47" i="24" s="1"/>
  <c r="H178" i="24"/>
  <c r="H46" i="24" s="1"/>
  <c r="H47" i="24" s="1"/>
  <c r="E178" i="24"/>
  <c r="E46" i="24" s="1"/>
  <c r="G178" i="24"/>
  <c r="G46" i="24" s="1"/>
  <c r="G47" i="24" s="1"/>
  <c r="G179" i="41"/>
  <c r="G46" i="41" s="1"/>
  <c r="G47" i="41" s="1"/>
  <c r="F179" i="41"/>
  <c r="F46" i="41" s="1"/>
  <c r="F47" i="41" s="1"/>
  <c r="E179" i="41"/>
  <c r="E46" i="41" s="1"/>
  <c r="H179" i="41"/>
  <c r="H46" i="41" s="1"/>
  <c r="H47" i="41" s="1"/>
  <c r="H73" i="40"/>
  <c r="H71" i="40" s="1"/>
  <c r="H6" i="40" s="1"/>
  <c r="G71" i="40"/>
  <c r="G6" i="40" s="1"/>
  <c r="G73" i="36"/>
  <c r="G6" i="36" s="1"/>
  <c r="H75" i="36"/>
  <c r="H73" i="36" s="1"/>
  <c r="H6" i="36" s="1"/>
  <c r="F217" i="46"/>
  <c r="F214" i="46"/>
  <c r="H217" i="46"/>
  <c r="H214" i="46"/>
  <c r="E73" i="45"/>
  <c r="E74" i="46"/>
  <c r="G214" i="46"/>
  <c r="G217" i="46"/>
  <c r="E101" i="45"/>
  <c r="G153" i="45"/>
  <c r="G150" i="45"/>
  <c r="H153" i="45"/>
  <c r="H150" i="45"/>
  <c r="E74" i="42"/>
  <c r="E72" i="42" s="1"/>
  <c r="E6" i="42" s="1"/>
  <c r="F154" i="42"/>
  <c r="F151" i="42"/>
  <c r="G154" i="42"/>
  <c r="G151" i="42"/>
  <c r="E102" i="41"/>
  <c r="E100" i="41" s="1"/>
  <c r="E15" i="41" s="1"/>
  <c r="F154" i="41"/>
  <c r="F151" i="41"/>
  <c r="E77" i="40"/>
  <c r="E75" i="40" s="1"/>
  <c r="E7" i="40" s="1"/>
  <c r="E74" i="41"/>
  <c r="G154" i="41"/>
  <c r="G151" i="41"/>
  <c r="G222" i="40"/>
  <c r="G225" i="40"/>
  <c r="H225" i="40"/>
  <c r="H222" i="40"/>
  <c r="E101" i="39"/>
  <c r="F101" i="39" s="1"/>
  <c r="E79" i="36"/>
  <c r="E77" i="36" s="1"/>
  <c r="E7" i="36" s="1"/>
  <c r="E5" i="36" s="1"/>
  <c r="E16" i="36" s="1"/>
  <c r="E73" i="39"/>
  <c r="G155" i="39"/>
  <c r="G152" i="39"/>
  <c r="E155" i="36"/>
  <c r="F155" i="36" s="1"/>
  <c r="H244" i="36"/>
  <c r="H247" i="36"/>
  <c r="G244" i="36"/>
  <c r="G247" i="36"/>
  <c r="E97" i="35"/>
  <c r="G148" i="35"/>
  <c r="G151" i="35"/>
  <c r="E69" i="34"/>
  <c r="E67" i="34" s="1"/>
  <c r="E6" i="34" s="1"/>
  <c r="E69" i="35"/>
  <c r="F151" i="35"/>
  <c r="F148" i="35"/>
  <c r="G148" i="34"/>
  <c r="G151" i="34"/>
  <c r="H151" i="34"/>
  <c r="H148" i="34"/>
  <c r="E97" i="33"/>
  <c r="F151" i="33"/>
  <c r="F148" i="33"/>
  <c r="E69" i="32"/>
  <c r="F69" i="32" s="1"/>
  <c r="E69" i="33"/>
  <c r="G151" i="33"/>
  <c r="G148" i="33"/>
  <c r="G151" i="32"/>
  <c r="G148" i="32"/>
  <c r="H151" i="32"/>
  <c r="H148" i="32"/>
  <c r="G151" i="31"/>
  <c r="G148" i="31"/>
  <c r="E69" i="30"/>
  <c r="E67" i="30" s="1"/>
  <c r="E6" i="30" s="1"/>
  <c r="E69" i="31"/>
  <c r="E97" i="31"/>
  <c r="F151" i="31"/>
  <c r="F148" i="31"/>
  <c r="F151" i="30"/>
  <c r="F148" i="30"/>
  <c r="H151" i="30"/>
  <c r="H148" i="30"/>
  <c r="E73" i="28"/>
  <c r="E71" i="28" s="1"/>
  <c r="E6" i="28" s="1"/>
  <c r="E73" i="29"/>
  <c r="G153" i="29"/>
  <c r="G150" i="29"/>
  <c r="E101" i="29"/>
  <c r="H153" i="29"/>
  <c r="H150" i="29"/>
  <c r="G153" i="28"/>
  <c r="G150" i="28"/>
  <c r="F153" i="28"/>
  <c r="F150" i="28"/>
  <c r="E101" i="26"/>
  <c r="E99" i="26" s="1"/>
  <c r="E15" i="26" s="1"/>
  <c r="H153" i="27"/>
  <c r="H150" i="27"/>
  <c r="E73" i="26"/>
  <c r="E71" i="26" s="1"/>
  <c r="E6" i="26" s="1"/>
  <c r="E73" i="27"/>
  <c r="F150" i="27"/>
  <c r="F153" i="27"/>
  <c r="G153" i="27"/>
  <c r="G150" i="27"/>
  <c r="F150" i="26"/>
  <c r="F153" i="26"/>
  <c r="G153" i="26"/>
  <c r="G153" i="25"/>
  <c r="G150" i="25"/>
  <c r="E73" i="24"/>
  <c r="E71" i="24" s="1"/>
  <c r="E6" i="24" s="1"/>
  <c r="E73" i="25"/>
  <c r="E101" i="24"/>
  <c r="F101" i="24" s="1"/>
  <c r="F150" i="25"/>
  <c r="F153" i="25"/>
  <c r="F153" i="24"/>
  <c r="F150" i="24"/>
  <c r="G153" i="24"/>
  <c r="G150" i="24"/>
  <c r="H150" i="21"/>
  <c r="H153" i="21"/>
  <c r="E129" i="20"/>
  <c r="E127" i="20" s="1"/>
  <c r="E20" i="20" s="1"/>
  <c r="E75" i="20"/>
  <c r="F75" i="20" s="1"/>
  <c r="E73" i="21"/>
  <c r="G153" i="21"/>
  <c r="G150" i="21"/>
  <c r="G63" i="19"/>
  <c r="G5" i="19" s="1"/>
  <c r="H65" i="19"/>
  <c r="H63" i="19" s="1"/>
  <c r="H5" i="19" s="1"/>
  <c r="G63" i="16"/>
  <c r="G5" i="16" s="1"/>
  <c r="H65" i="16"/>
  <c r="H63" i="16" s="1"/>
  <c r="H5" i="16" s="1"/>
  <c r="G63" i="15"/>
  <c r="G5" i="15" s="1"/>
  <c r="H65" i="15"/>
  <c r="H63" i="15" s="1"/>
  <c r="H5" i="15" s="1"/>
  <c r="G69" i="20"/>
  <c r="G6" i="20" s="1"/>
  <c r="H71" i="20"/>
  <c r="H69" i="20" s="1"/>
  <c r="H6" i="20" s="1"/>
  <c r="H206" i="20"/>
  <c r="H203" i="20"/>
  <c r="F203" i="20"/>
  <c r="F206" i="20"/>
  <c r="F146" i="18"/>
  <c r="F149" i="18"/>
  <c r="G63" i="18"/>
  <c r="G5" i="18" s="1"/>
  <c r="H65" i="18"/>
  <c r="H63" i="18" s="1"/>
  <c r="H5" i="18" s="1"/>
  <c r="H146" i="18"/>
  <c r="H149" i="18"/>
  <c r="F148" i="19"/>
  <c r="F151" i="19"/>
  <c r="G146" i="18"/>
  <c r="H151" i="19"/>
  <c r="H148" i="19"/>
  <c r="H65" i="14"/>
  <c r="H63" i="14" s="1"/>
  <c r="H5" i="14" s="1"/>
  <c r="G63" i="14"/>
  <c r="G5" i="14" s="1"/>
  <c r="H65" i="13"/>
  <c r="H63" i="13" s="1"/>
  <c r="H5" i="13" s="1"/>
  <c r="G63" i="13"/>
  <c r="G5" i="13" s="1"/>
  <c r="G151" i="19"/>
  <c r="G148" i="19"/>
  <c r="E97" i="19"/>
  <c r="E69" i="18"/>
  <c r="E67" i="18" s="1"/>
  <c r="E6" i="18" s="1"/>
  <c r="E69" i="19"/>
  <c r="H102" i="18"/>
  <c r="H102" i="16"/>
  <c r="E69" i="16"/>
  <c r="F69" i="16" s="1"/>
  <c r="D5" i="8"/>
  <c r="H102" i="15"/>
  <c r="H102" i="14"/>
  <c r="G99" i="14"/>
  <c r="G20" i="14" s="1"/>
  <c r="G22" i="14" s="1"/>
  <c r="H102" i="13"/>
  <c r="E69" i="14"/>
  <c r="E67" i="14" s="1"/>
  <c r="E6" i="14" s="1"/>
  <c r="E69" i="15"/>
  <c r="E97" i="14"/>
  <c r="F97" i="14" s="1"/>
  <c r="E69" i="13"/>
  <c r="E97" i="10"/>
  <c r="F97" i="10" s="1"/>
  <c r="E69" i="10"/>
  <c r="F69" i="10" s="1"/>
  <c r="E69" i="11"/>
  <c r="F100" i="11"/>
  <c r="F99" i="11" s="1"/>
  <c r="F20" i="11" s="1"/>
  <c r="G100" i="11"/>
  <c r="G99" i="11" s="1"/>
  <c r="G20" i="11" s="1"/>
  <c r="G22" i="11" s="1"/>
  <c r="H100" i="11"/>
  <c r="H99" i="11" s="1"/>
  <c r="H20" i="11" s="1"/>
  <c r="H22" i="11" s="1"/>
  <c r="H100" i="10"/>
  <c r="H99" i="10" s="1"/>
  <c r="H20" i="10" s="1"/>
  <c r="H22" i="10" s="1"/>
  <c r="G100" i="10"/>
  <c r="G99" i="10" s="1"/>
  <c r="G20" i="10" s="1"/>
  <c r="G22" i="10" s="1"/>
  <c r="F100" i="10"/>
  <c r="F99" i="10" s="1"/>
  <c r="F20" i="10" s="1"/>
  <c r="E97" i="8"/>
  <c r="D26" i="4"/>
  <c r="C9" i="7"/>
  <c r="E69" i="8"/>
  <c r="F100" i="8"/>
  <c r="F99" i="8" s="1"/>
  <c r="F20" i="8" s="1"/>
  <c r="F22" i="8" s="1"/>
  <c r="G100" i="8"/>
  <c r="G99" i="8" s="1"/>
  <c r="G20" i="8" s="1"/>
  <c r="G22" i="8" s="1"/>
  <c r="H100" i="6"/>
  <c r="F100" i="6"/>
  <c r="F99" i="6" s="1"/>
  <c r="F20" i="6" s="1"/>
  <c r="F22" i="6" s="1"/>
  <c r="G100" i="6"/>
  <c r="G99" i="6" s="1"/>
  <c r="G20" i="6" s="1"/>
  <c r="G22" i="6" s="1"/>
  <c r="H100" i="8"/>
  <c r="E69" i="6"/>
  <c r="H102" i="6"/>
  <c r="H102" i="8"/>
  <c r="F152" i="39" l="1"/>
  <c r="E97" i="6"/>
  <c r="E95" i="6" s="1"/>
  <c r="E15" i="6" s="1"/>
  <c r="E17" i="6" s="1"/>
  <c r="E97" i="13"/>
  <c r="F97" i="13" s="1"/>
  <c r="E97" i="16"/>
  <c r="E95" i="16" s="1"/>
  <c r="E15" i="16" s="1"/>
  <c r="E101" i="21"/>
  <c r="F101" i="21" s="1"/>
  <c r="E101" i="27"/>
  <c r="E99" i="27" s="1"/>
  <c r="E15" i="27" s="1"/>
  <c r="E133" i="46"/>
  <c r="F133" i="46" s="1"/>
  <c r="G133" i="46" s="1"/>
  <c r="E97" i="11"/>
  <c r="E97" i="15"/>
  <c r="E95" i="15" s="1"/>
  <c r="E15" i="15" s="1"/>
  <c r="E97" i="18"/>
  <c r="F97" i="18" s="1"/>
  <c r="G97" i="18" s="1"/>
  <c r="E101" i="25"/>
  <c r="F101" i="25" s="1"/>
  <c r="E101" i="28"/>
  <c r="E97" i="30"/>
  <c r="F97" i="30" s="1"/>
  <c r="G97" i="30" s="1"/>
  <c r="E97" i="32"/>
  <c r="E95" i="32" s="1"/>
  <c r="E15" i="32" s="1"/>
  <c r="E97" i="34"/>
  <c r="F97" i="34" s="1"/>
  <c r="F95" i="34" s="1"/>
  <c r="F15" i="34" s="1"/>
  <c r="F17" i="34" s="1"/>
  <c r="E137" i="40"/>
  <c r="D5" i="6"/>
  <c r="H150" i="24"/>
  <c r="H149" i="24" s="1"/>
  <c r="H50" i="24" s="1"/>
  <c r="H52" i="24" s="1"/>
  <c r="F153" i="29"/>
  <c r="H155" i="39"/>
  <c r="H151" i="39" s="1"/>
  <c r="H50" i="39" s="1"/>
  <c r="H52" i="39" s="1"/>
  <c r="F150" i="45"/>
  <c r="F149" i="45" s="1"/>
  <c r="F50" i="45" s="1"/>
  <c r="E5" i="40"/>
  <c r="E14" i="40"/>
  <c r="E18" i="40" s="1"/>
  <c r="B10" i="3"/>
  <c r="H89" i="47" s="1"/>
  <c r="H87" i="47" s="1"/>
  <c r="H10" i="47" s="1"/>
  <c r="H12" i="47" s="1"/>
  <c r="E20" i="36"/>
  <c r="F77" i="40"/>
  <c r="F75" i="40" s="1"/>
  <c r="F7" i="40" s="1"/>
  <c r="F222" i="40"/>
  <c r="F221" i="40" s="1"/>
  <c r="F54" i="40" s="1"/>
  <c r="F56" i="40" s="1"/>
  <c r="H99" i="13"/>
  <c r="H20" i="13" s="1"/>
  <c r="H22" i="13" s="1"/>
  <c r="H99" i="15"/>
  <c r="H20" i="15" s="1"/>
  <c r="H22" i="15" s="1"/>
  <c r="H99" i="16"/>
  <c r="H20" i="16" s="1"/>
  <c r="H22" i="16" s="1"/>
  <c r="D20" i="21"/>
  <c r="D22" i="21" s="1"/>
  <c r="F22" i="21"/>
  <c r="H99" i="18"/>
  <c r="H20" i="18" s="1"/>
  <c r="H22" i="18" s="1"/>
  <c r="D25" i="20"/>
  <c r="D27" i="20" s="1"/>
  <c r="D20" i="26"/>
  <c r="D22" i="26" s="1"/>
  <c r="D20" i="39"/>
  <c r="D22" i="39" s="1"/>
  <c r="G151" i="47"/>
  <c r="G148" i="47"/>
  <c r="F67" i="47"/>
  <c r="F6" i="47" s="1"/>
  <c r="G69" i="47"/>
  <c r="E7" i="47"/>
  <c r="F97" i="47"/>
  <c r="E95" i="47"/>
  <c r="E15" i="47" s="1"/>
  <c r="D46" i="16"/>
  <c r="D48" i="16" s="1"/>
  <c r="F148" i="32"/>
  <c r="F147" i="32" s="1"/>
  <c r="F46" i="32" s="1"/>
  <c r="F48" i="32" s="1"/>
  <c r="H99" i="14"/>
  <c r="H20" i="14" s="1"/>
  <c r="H22" i="14" s="1"/>
  <c r="H150" i="26"/>
  <c r="H149" i="26" s="1"/>
  <c r="H50" i="26" s="1"/>
  <c r="H52" i="26" s="1"/>
  <c r="D20" i="34"/>
  <c r="D22" i="34" s="1"/>
  <c r="H148" i="47"/>
  <c r="H151" i="47"/>
  <c r="F22" i="47"/>
  <c r="D20" i="47"/>
  <c r="D22" i="47" s="1"/>
  <c r="F244" i="36"/>
  <c r="F243" i="36" s="1"/>
  <c r="F56" i="36" s="1"/>
  <c r="F151" i="47"/>
  <c r="F148" i="47"/>
  <c r="H151" i="35"/>
  <c r="H147" i="35" s="1"/>
  <c r="H46" i="35" s="1"/>
  <c r="H48" i="35" s="1"/>
  <c r="D20" i="32"/>
  <c r="D22" i="32" s="1"/>
  <c r="H148" i="31"/>
  <c r="H147" i="31" s="1"/>
  <c r="H46" i="31" s="1"/>
  <c r="H48" i="31" s="1"/>
  <c r="F73" i="26"/>
  <c r="G73" i="26" s="1"/>
  <c r="D20" i="24"/>
  <c r="D22" i="24" s="1"/>
  <c r="D20" i="41"/>
  <c r="D22" i="41" s="1"/>
  <c r="D20" i="35"/>
  <c r="D22" i="35" s="1"/>
  <c r="F69" i="34"/>
  <c r="F67" i="34" s="1"/>
  <c r="F6" i="34" s="1"/>
  <c r="F151" i="34"/>
  <c r="F147" i="34" s="1"/>
  <c r="F46" i="34" s="1"/>
  <c r="F48" i="34" s="1"/>
  <c r="D20" i="33"/>
  <c r="D22" i="33" s="1"/>
  <c r="H151" i="33"/>
  <c r="H147" i="33" s="1"/>
  <c r="H46" i="33" s="1"/>
  <c r="H48" i="33" s="1"/>
  <c r="G148" i="30"/>
  <c r="G147" i="30" s="1"/>
  <c r="G46" i="30" s="1"/>
  <c r="G48" i="30" s="1"/>
  <c r="H153" i="25"/>
  <c r="H149" i="25" s="1"/>
  <c r="H50" i="25" s="1"/>
  <c r="H52" i="25" s="1"/>
  <c r="F153" i="21"/>
  <c r="F149" i="21" s="1"/>
  <c r="F50" i="21" s="1"/>
  <c r="F52" i="21" s="1"/>
  <c r="E99" i="24"/>
  <c r="E15" i="24" s="1"/>
  <c r="E17" i="24" s="1"/>
  <c r="F48" i="15"/>
  <c r="H151" i="41"/>
  <c r="H150" i="41" s="1"/>
  <c r="H50" i="41" s="1"/>
  <c r="H52" i="41" s="1"/>
  <c r="G206" i="20"/>
  <c r="G202" i="20" s="1"/>
  <c r="G52" i="20" s="1"/>
  <c r="G54" i="20" s="1"/>
  <c r="D20" i="27"/>
  <c r="D22" i="27" s="1"/>
  <c r="D5" i="39"/>
  <c r="D5" i="28"/>
  <c r="D5" i="25"/>
  <c r="D5" i="34"/>
  <c r="E73" i="20"/>
  <c r="E7" i="20" s="1"/>
  <c r="H150" i="28"/>
  <c r="H149" i="28" s="1"/>
  <c r="H50" i="28" s="1"/>
  <c r="H52" i="28" s="1"/>
  <c r="F69" i="30"/>
  <c r="F67" i="30" s="1"/>
  <c r="F6" i="30" s="1"/>
  <c r="H151" i="42"/>
  <c r="H150" i="42" s="1"/>
  <c r="H50" i="42" s="1"/>
  <c r="H52" i="42" s="1"/>
  <c r="D24" i="46"/>
  <c r="D26" i="46" s="1"/>
  <c r="D6" i="40"/>
  <c r="D6" i="46"/>
  <c r="D5" i="29"/>
  <c r="D20" i="28"/>
  <c r="D22" i="28" s="1"/>
  <c r="D6" i="36"/>
  <c r="D5" i="42"/>
  <c r="D5" i="21"/>
  <c r="D5" i="32"/>
  <c r="D5" i="45"/>
  <c r="D5" i="33"/>
  <c r="D46" i="41"/>
  <c r="D47" i="41" s="1"/>
  <c r="E47" i="41"/>
  <c r="D46" i="24"/>
  <c r="D47" i="24" s="1"/>
  <c r="E47" i="24"/>
  <c r="D46" i="42"/>
  <c r="D47" i="42" s="1"/>
  <c r="E47" i="42"/>
  <c r="E47" i="27"/>
  <c r="D46" i="27"/>
  <c r="D47" i="27" s="1"/>
  <c r="D20" i="25"/>
  <c r="D22" i="25" s="1"/>
  <c r="E47" i="39"/>
  <c r="D46" i="39"/>
  <c r="D47" i="39" s="1"/>
  <c r="D46" i="26"/>
  <c r="D47" i="26" s="1"/>
  <c r="E47" i="26"/>
  <c r="D5" i="27"/>
  <c r="D5" i="24"/>
  <c r="D5" i="26"/>
  <c r="D5" i="30"/>
  <c r="E47" i="21"/>
  <c r="D46" i="21"/>
  <c r="D47" i="21" s="1"/>
  <c r="E47" i="29"/>
  <c r="D46" i="29"/>
  <c r="D47" i="29" s="1"/>
  <c r="D20" i="29"/>
  <c r="D22" i="29" s="1"/>
  <c r="D20" i="42"/>
  <c r="D22" i="42" s="1"/>
  <c r="F213" i="46"/>
  <c r="F51" i="46" s="1"/>
  <c r="F53" i="46" s="1"/>
  <c r="E47" i="28"/>
  <c r="D46" i="28"/>
  <c r="D47" i="28" s="1"/>
  <c r="D5" i="41"/>
  <c r="D5" i="35"/>
  <c r="D46" i="25"/>
  <c r="D47" i="25" s="1"/>
  <c r="E47" i="25"/>
  <c r="D5" i="31"/>
  <c r="E125" i="46"/>
  <c r="E123" i="46" s="1"/>
  <c r="H149" i="45"/>
  <c r="H50" i="45" s="1"/>
  <c r="H52" i="45" s="1"/>
  <c r="G213" i="46"/>
  <c r="G51" i="46" s="1"/>
  <c r="G53" i="46" s="1"/>
  <c r="F74" i="46"/>
  <c r="E72" i="46"/>
  <c r="E7" i="46" s="1"/>
  <c r="E5" i="46" s="1"/>
  <c r="E71" i="45"/>
  <c r="E6" i="45" s="1"/>
  <c r="F73" i="45"/>
  <c r="D20" i="19"/>
  <c r="D22" i="19" s="1"/>
  <c r="F74" i="42"/>
  <c r="F72" i="42" s="1"/>
  <c r="F6" i="42" s="1"/>
  <c r="G149" i="45"/>
  <c r="G50" i="45" s="1"/>
  <c r="G52" i="45" s="1"/>
  <c r="H213" i="46"/>
  <c r="H51" i="46" s="1"/>
  <c r="H53" i="46" s="1"/>
  <c r="D20" i="31"/>
  <c r="D22" i="31" s="1"/>
  <c r="D20" i="45"/>
  <c r="D22" i="45" s="1"/>
  <c r="G147" i="32"/>
  <c r="G46" i="32" s="1"/>
  <c r="G48" i="32" s="1"/>
  <c r="F101" i="45"/>
  <c r="E99" i="45"/>
  <c r="E15" i="45" s="1"/>
  <c r="F93" i="45"/>
  <c r="F91" i="45" s="1"/>
  <c r="F10" i="45" s="1"/>
  <c r="F102" i="41"/>
  <c r="G102" i="41" s="1"/>
  <c r="G150" i="41"/>
  <c r="G50" i="41" s="1"/>
  <c r="G52" i="41" s="1"/>
  <c r="F150" i="41"/>
  <c r="F50" i="41" s="1"/>
  <c r="F52" i="41" s="1"/>
  <c r="G150" i="42"/>
  <c r="G50" i="42" s="1"/>
  <c r="G52" i="42" s="1"/>
  <c r="F150" i="42"/>
  <c r="F50" i="42" s="1"/>
  <c r="F52" i="42" s="1"/>
  <c r="F73" i="28"/>
  <c r="F71" i="28" s="1"/>
  <c r="F6" i="28" s="1"/>
  <c r="F102" i="42"/>
  <c r="E100" i="42"/>
  <c r="E15" i="42" s="1"/>
  <c r="E7" i="42"/>
  <c r="G94" i="42"/>
  <c r="G92" i="42" s="1"/>
  <c r="G10" i="42" s="1"/>
  <c r="E99" i="39"/>
  <c r="E15" i="39" s="1"/>
  <c r="E17" i="39" s="1"/>
  <c r="F29" i="40"/>
  <c r="D27" i="40"/>
  <c r="D29" i="40" s="1"/>
  <c r="H94" i="41"/>
  <c r="H92" i="41" s="1"/>
  <c r="H10" i="41" s="1"/>
  <c r="F101" i="26"/>
  <c r="F99" i="26" s="1"/>
  <c r="F15" i="26" s="1"/>
  <c r="F17" i="26" s="1"/>
  <c r="E72" i="41"/>
  <c r="E6" i="41" s="1"/>
  <c r="F74" i="41"/>
  <c r="E17" i="41"/>
  <c r="H221" i="40"/>
  <c r="H54" i="40" s="1"/>
  <c r="H56" i="40" s="1"/>
  <c r="F129" i="40"/>
  <c r="F127" i="40" s="1"/>
  <c r="F138" i="40" s="1"/>
  <c r="E127" i="40"/>
  <c r="E138" i="40" s="1"/>
  <c r="E23" i="40" s="1"/>
  <c r="F147" i="31"/>
  <c r="F46" i="31" s="1"/>
  <c r="F48" i="31" s="1"/>
  <c r="G147" i="31"/>
  <c r="G46" i="31" s="1"/>
  <c r="G48" i="31" s="1"/>
  <c r="F137" i="40"/>
  <c r="E135" i="40"/>
  <c r="E22" i="40" s="1"/>
  <c r="G221" i="40"/>
  <c r="G54" i="40" s="1"/>
  <c r="G56" i="40" s="1"/>
  <c r="H99" i="6"/>
  <c r="H20" i="6" s="1"/>
  <c r="H22" i="6" s="1"/>
  <c r="G149" i="24"/>
  <c r="G50" i="24" s="1"/>
  <c r="G52" i="24" s="1"/>
  <c r="G149" i="29"/>
  <c r="G50" i="29" s="1"/>
  <c r="G52" i="29" s="1"/>
  <c r="E67" i="32"/>
  <c r="E6" i="32" s="1"/>
  <c r="E7" i="32" s="1"/>
  <c r="D29" i="36"/>
  <c r="D31" i="36" s="1"/>
  <c r="F31" i="36"/>
  <c r="E93" i="39"/>
  <c r="E91" i="39" s="1"/>
  <c r="E10" i="39" s="1"/>
  <c r="F79" i="36"/>
  <c r="F77" i="36" s="1"/>
  <c r="F7" i="36" s="1"/>
  <c r="G151" i="39"/>
  <c r="G50" i="39" s="1"/>
  <c r="G52" i="39" s="1"/>
  <c r="F151" i="39"/>
  <c r="F50" i="39" s="1"/>
  <c r="F73" i="39"/>
  <c r="E71" i="39"/>
  <c r="E6" i="39" s="1"/>
  <c r="G101" i="39"/>
  <c r="F99" i="39"/>
  <c r="F15" i="39" s="1"/>
  <c r="F17" i="39" s="1"/>
  <c r="G147" i="33"/>
  <c r="G46" i="33" s="1"/>
  <c r="G48" i="33" s="1"/>
  <c r="E153" i="36"/>
  <c r="E24" i="36" s="1"/>
  <c r="H147" i="34"/>
  <c r="H46" i="34" s="1"/>
  <c r="H48" i="34" s="1"/>
  <c r="G243" i="36"/>
  <c r="G56" i="36" s="1"/>
  <c r="G58" i="36" s="1"/>
  <c r="H147" i="36"/>
  <c r="H145" i="36" s="1"/>
  <c r="F147" i="35"/>
  <c r="F46" i="35" s="1"/>
  <c r="F48" i="35" s="1"/>
  <c r="H243" i="36"/>
  <c r="H56" i="36" s="1"/>
  <c r="H58" i="36" s="1"/>
  <c r="G155" i="36"/>
  <c r="F153" i="36"/>
  <c r="F24" i="36" s="1"/>
  <c r="F69" i="35"/>
  <c r="E67" i="35"/>
  <c r="E6" i="35" s="1"/>
  <c r="F97" i="35"/>
  <c r="E95" i="35"/>
  <c r="E15" i="35" s="1"/>
  <c r="H89" i="35"/>
  <c r="H87" i="35" s="1"/>
  <c r="H10" i="35" s="1"/>
  <c r="G147" i="34"/>
  <c r="G46" i="34" s="1"/>
  <c r="G48" i="34" s="1"/>
  <c r="H147" i="32"/>
  <c r="H46" i="32" s="1"/>
  <c r="H48" i="32" s="1"/>
  <c r="G147" i="35"/>
  <c r="G46" i="35" s="1"/>
  <c r="G48" i="35" s="1"/>
  <c r="E89" i="34"/>
  <c r="E87" i="34" s="1"/>
  <c r="E10" i="34" s="1"/>
  <c r="E95" i="30"/>
  <c r="E15" i="30" s="1"/>
  <c r="E17" i="30" s="1"/>
  <c r="F147" i="33"/>
  <c r="F46" i="33" s="1"/>
  <c r="F48" i="33" s="1"/>
  <c r="E7" i="34"/>
  <c r="E67" i="33"/>
  <c r="E6" i="33" s="1"/>
  <c r="F69" i="33"/>
  <c r="E95" i="33"/>
  <c r="E15" i="33" s="1"/>
  <c r="F97" i="33"/>
  <c r="E89" i="33"/>
  <c r="E87" i="33" s="1"/>
  <c r="E10" i="33" s="1"/>
  <c r="F97" i="32"/>
  <c r="F95" i="32" s="1"/>
  <c r="F15" i="32" s="1"/>
  <c r="F17" i="32" s="1"/>
  <c r="F67" i="32"/>
  <c r="F6" i="32" s="1"/>
  <c r="G69" i="32"/>
  <c r="H89" i="32"/>
  <c r="H87" i="32" s="1"/>
  <c r="H10" i="32" s="1"/>
  <c r="E17" i="32"/>
  <c r="F22" i="30"/>
  <c r="D20" i="30"/>
  <c r="D22" i="30" s="1"/>
  <c r="F129" i="20"/>
  <c r="F127" i="20" s="1"/>
  <c r="F20" i="20" s="1"/>
  <c r="F97" i="31"/>
  <c r="E95" i="31"/>
  <c r="E15" i="31" s="1"/>
  <c r="F69" i="31"/>
  <c r="E67" i="31"/>
  <c r="E6" i="31" s="1"/>
  <c r="F89" i="31"/>
  <c r="F87" i="31" s="1"/>
  <c r="F10" i="31" s="1"/>
  <c r="F147" i="30"/>
  <c r="F46" i="30" s="1"/>
  <c r="F48" i="30" s="1"/>
  <c r="F149" i="28"/>
  <c r="F50" i="28" s="1"/>
  <c r="F52" i="28" s="1"/>
  <c r="G149" i="28"/>
  <c r="G50" i="28" s="1"/>
  <c r="G52" i="28" s="1"/>
  <c r="H149" i="29"/>
  <c r="H50" i="29" s="1"/>
  <c r="H52" i="29" s="1"/>
  <c r="F149" i="29"/>
  <c r="F50" i="29" s="1"/>
  <c r="H147" i="30"/>
  <c r="H46" i="30" s="1"/>
  <c r="H48" i="30" s="1"/>
  <c r="H89" i="30"/>
  <c r="H87" i="30" s="1"/>
  <c r="H10" i="30" s="1"/>
  <c r="F95" i="30"/>
  <c r="F15" i="30" s="1"/>
  <c r="F17" i="30" s="1"/>
  <c r="E7" i="30"/>
  <c r="F101" i="29"/>
  <c r="E99" i="29"/>
  <c r="E15" i="29" s="1"/>
  <c r="F73" i="29"/>
  <c r="E71" i="29"/>
  <c r="E6" i="29" s="1"/>
  <c r="E93" i="29"/>
  <c r="E91" i="29" s="1"/>
  <c r="E10" i="29" s="1"/>
  <c r="E93" i="28"/>
  <c r="E91" i="28" s="1"/>
  <c r="E10" i="28" s="1"/>
  <c r="E7" i="28"/>
  <c r="F149" i="27"/>
  <c r="F50" i="27" s="1"/>
  <c r="F52" i="27" s="1"/>
  <c r="E93" i="27"/>
  <c r="E91" i="27" s="1"/>
  <c r="E10" i="27" s="1"/>
  <c r="G149" i="26"/>
  <c r="G50" i="26" s="1"/>
  <c r="G52" i="26" s="1"/>
  <c r="G149" i="27"/>
  <c r="G50" i="27" s="1"/>
  <c r="G52" i="27" s="1"/>
  <c r="H149" i="27"/>
  <c r="H50" i="27" s="1"/>
  <c r="H52" i="27" s="1"/>
  <c r="F73" i="27"/>
  <c r="E71" i="27"/>
  <c r="E6" i="27" s="1"/>
  <c r="F101" i="27"/>
  <c r="H93" i="26"/>
  <c r="H91" i="26" s="1"/>
  <c r="H10" i="26" s="1"/>
  <c r="F149" i="26"/>
  <c r="F50" i="26" s="1"/>
  <c r="E17" i="26"/>
  <c r="E7" i="26"/>
  <c r="F149" i="25"/>
  <c r="F50" i="25" s="1"/>
  <c r="G93" i="25"/>
  <c r="G91" i="25" s="1"/>
  <c r="G10" i="25" s="1"/>
  <c r="H202" i="20"/>
  <c r="H52" i="20" s="1"/>
  <c r="H54" i="20" s="1"/>
  <c r="D5" i="16"/>
  <c r="F149" i="24"/>
  <c r="F50" i="24" s="1"/>
  <c r="F52" i="24" s="1"/>
  <c r="F73" i="24"/>
  <c r="F71" i="24" s="1"/>
  <c r="F6" i="24" s="1"/>
  <c r="E99" i="25"/>
  <c r="E15" i="25" s="1"/>
  <c r="G149" i="25"/>
  <c r="G50" i="25" s="1"/>
  <c r="G52" i="25" s="1"/>
  <c r="F73" i="25"/>
  <c r="E71" i="25"/>
  <c r="E6" i="25" s="1"/>
  <c r="F93" i="24"/>
  <c r="F91" i="24" s="1"/>
  <c r="F10" i="24" s="1"/>
  <c r="F99" i="24"/>
  <c r="F15" i="24" s="1"/>
  <c r="F17" i="24" s="1"/>
  <c r="G101" i="24"/>
  <c r="E7" i="24"/>
  <c r="H93" i="21"/>
  <c r="H91" i="21" s="1"/>
  <c r="H10" i="21" s="1"/>
  <c r="F73" i="21"/>
  <c r="E71" i="21"/>
  <c r="E6" i="21" s="1"/>
  <c r="F69" i="18"/>
  <c r="G69" i="18" s="1"/>
  <c r="D5" i="14"/>
  <c r="G145" i="18"/>
  <c r="G46" i="18" s="1"/>
  <c r="G48" i="18" s="1"/>
  <c r="G149" i="21"/>
  <c r="G50" i="21" s="1"/>
  <c r="G52" i="21" s="1"/>
  <c r="E99" i="21"/>
  <c r="E15" i="21" s="1"/>
  <c r="H149" i="21"/>
  <c r="H50" i="21" s="1"/>
  <c r="H52" i="21" s="1"/>
  <c r="G147" i="19"/>
  <c r="G46" i="19" s="1"/>
  <c r="G48" i="19" s="1"/>
  <c r="F145" i="18"/>
  <c r="F46" i="18" s="1"/>
  <c r="F48" i="18" s="1"/>
  <c r="F202" i="20"/>
  <c r="F52" i="20" s="1"/>
  <c r="D5" i="15"/>
  <c r="D5" i="19"/>
  <c r="D5" i="13"/>
  <c r="F147" i="19"/>
  <c r="F46" i="19" s="1"/>
  <c r="F48" i="19" s="1"/>
  <c r="D5" i="18"/>
  <c r="D6" i="20"/>
  <c r="H145" i="18"/>
  <c r="H46" i="18" s="1"/>
  <c r="H48" i="18" s="1"/>
  <c r="H147" i="19"/>
  <c r="H46" i="19" s="1"/>
  <c r="H48" i="19" s="1"/>
  <c r="F121" i="20"/>
  <c r="F119" i="20" s="1"/>
  <c r="F15" i="20" s="1"/>
  <c r="G75" i="20"/>
  <c r="F73" i="20"/>
  <c r="F7" i="20" s="1"/>
  <c r="F5" i="20" s="1"/>
  <c r="F69" i="19"/>
  <c r="E67" i="19"/>
  <c r="E6" i="19" s="1"/>
  <c r="E89" i="19"/>
  <c r="E87" i="19" s="1"/>
  <c r="E10" i="19" s="1"/>
  <c r="F97" i="19"/>
  <c r="E95" i="19"/>
  <c r="E15" i="19" s="1"/>
  <c r="F69" i="14"/>
  <c r="F67" i="14" s="1"/>
  <c r="F6" i="14" s="1"/>
  <c r="E67" i="16"/>
  <c r="E6" i="16" s="1"/>
  <c r="E7" i="16" s="1"/>
  <c r="E95" i="14"/>
  <c r="E15" i="14" s="1"/>
  <c r="E17" i="14" s="1"/>
  <c r="H89" i="18"/>
  <c r="H87" i="18" s="1"/>
  <c r="H10" i="18" s="1"/>
  <c r="F97" i="16"/>
  <c r="F95" i="16" s="1"/>
  <c r="F15" i="16" s="1"/>
  <c r="F17" i="16" s="1"/>
  <c r="E7" i="18"/>
  <c r="G89" i="6"/>
  <c r="G87" i="6" s="1"/>
  <c r="G10" i="6" s="1"/>
  <c r="E17" i="16"/>
  <c r="F67" i="16"/>
  <c r="F6" i="16" s="1"/>
  <c r="G69" i="16"/>
  <c r="E89" i="16"/>
  <c r="E87" i="16" s="1"/>
  <c r="E10" i="16" s="1"/>
  <c r="D20" i="13"/>
  <c r="D22" i="13" s="1"/>
  <c r="E89" i="15"/>
  <c r="E87" i="15" s="1"/>
  <c r="E10" i="15" s="1"/>
  <c r="F69" i="15"/>
  <c r="E67" i="15"/>
  <c r="E6" i="15" s="1"/>
  <c r="G97" i="14"/>
  <c r="F95" i="14"/>
  <c r="F15" i="14" s="1"/>
  <c r="F17" i="14" s="1"/>
  <c r="E7" i="14"/>
  <c r="H89" i="14"/>
  <c r="H87" i="14" s="1"/>
  <c r="H10" i="14" s="1"/>
  <c r="E95" i="13"/>
  <c r="E15" i="13" s="1"/>
  <c r="H89" i="13"/>
  <c r="H87" i="13" s="1"/>
  <c r="H10" i="13" s="1"/>
  <c r="E67" i="13"/>
  <c r="E6" i="13" s="1"/>
  <c r="F69" i="13"/>
  <c r="E95" i="10"/>
  <c r="E15" i="10" s="1"/>
  <c r="E17" i="10" s="1"/>
  <c r="H89" i="11"/>
  <c r="H87" i="11" s="1"/>
  <c r="H10" i="11" s="1"/>
  <c r="E67" i="11"/>
  <c r="E6" i="11" s="1"/>
  <c r="F69" i="11"/>
  <c r="E67" i="10"/>
  <c r="E6" i="10" s="1"/>
  <c r="E7" i="10" s="1"/>
  <c r="E95" i="11"/>
  <c r="E15" i="11" s="1"/>
  <c r="F97" i="11"/>
  <c r="F22" i="11"/>
  <c r="D20" i="11"/>
  <c r="D22" i="11" s="1"/>
  <c r="H89" i="10"/>
  <c r="H87" i="10" s="1"/>
  <c r="H10" i="10" s="1"/>
  <c r="G97" i="10"/>
  <c r="F95" i="10"/>
  <c r="F15" i="10" s="1"/>
  <c r="F17" i="10" s="1"/>
  <c r="F22" i="10"/>
  <c r="D20" i="10"/>
  <c r="D22" i="10" s="1"/>
  <c r="G69" i="10"/>
  <c r="F67" i="10"/>
  <c r="F6" i="10" s="1"/>
  <c r="H99" i="8"/>
  <c r="H20" i="8" s="1"/>
  <c r="H22" i="8" s="1"/>
  <c r="E67" i="8"/>
  <c r="E6" i="8" s="1"/>
  <c r="E7" i="8" s="1"/>
  <c r="E12" i="8" s="1"/>
  <c r="F69" i="8"/>
  <c r="E67" i="6"/>
  <c r="E6" i="6" s="1"/>
  <c r="F69" i="6"/>
  <c r="F97" i="8"/>
  <c r="E95" i="8"/>
  <c r="E15" i="8" s="1"/>
  <c r="F97" i="6"/>
  <c r="F97" i="15" l="1"/>
  <c r="G97" i="34"/>
  <c r="F131" i="46"/>
  <c r="F19" i="46" s="1"/>
  <c r="F21" i="46" s="1"/>
  <c r="E99" i="28"/>
  <c r="E15" i="28" s="1"/>
  <c r="E17" i="28" s="1"/>
  <c r="F101" i="28"/>
  <c r="F95" i="18"/>
  <c r="F15" i="18" s="1"/>
  <c r="F17" i="18" s="1"/>
  <c r="E95" i="34"/>
  <c r="E15" i="34" s="1"/>
  <c r="E17" i="34" s="1"/>
  <c r="E131" i="46"/>
  <c r="E19" i="46" s="1"/>
  <c r="E21" i="46" s="1"/>
  <c r="E95" i="18"/>
  <c r="E15" i="18" s="1"/>
  <c r="E17" i="18" s="1"/>
  <c r="D20" i="16"/>
  <c r="D22" i="16" s="1"/>
  <c r="G89" i="47"/>
  <c r="G87" i="47" s="1"/>
  <c r="G10" i="47" s="1"/>
  <c r="G12" i="47" s="1"/>
  <c r="G77" i="40"/>
  <c r="G75" i="40" s="1"/>
  <c r="G7" i="40" s="1"/>
  <c r="H156" i="36"/>
  <c r="H25" i="36" s="1"/>
  <c r="F89" i="16"/>
  <c r="F87" i="16" s="1"/>
  <c r="F10" i="16" s="1"/>
  <c r="G89" i="11"/>
  <c r="G87" i="11" s="1"/>
  <c r="G10" i="11" s="1"/>
  <c r="H89" i="6"/>
  <c r="H87" i="6" s="1"/>
  <c r="H10" i="6" s="1"/>
  <c r="F89" i="14"/>
  <c r="F87" i="14" s="1"/>
  <c r="F10" i="14" s="1"/>
  <c r="G89" i="15"/>
  <c r="G87" i="15" s="1"/>
  <c r="G10" i="15" s="1"/>
  <c r="G89" i="16"/>
  <c r="G87" i="16" s="1"/>
  <c r="G10" i="16" s="1"/>
  <c r="G121" i="20"/>
  <c r="G119" i="20" s="1"/>
  <c r="G15" i="20" s="1"/>
  <c r="G93" i="21"/>
  <c r="G91" i="21" s="1"/>
  <c r="G10" i="21" s="1"/>
  <c r="D10" i="21" s="1"/>
  <c r="F89" i="10"/>
  <c r="F87" i="10" s="1"/>
  <c r="F10" i="10" s="1"/>
  <c r="F89" i="11"/>
  <c r="F87" i="11" s="1"/>
  <c r="F10" i="11" s="1"/>
  <c r="G89" i="13"/>
  <c r="G87" i="13" s="1"/>
  <c r="G10" i="13" s="1"/>
  <c r="G89" i="14"/>
  <c r="G87" i="14" s="1"/>
  <c r="G10" i="14" s="1"/>
  <c r="H89" i="15"/>
  <c r="H87" i="15" s="1"/>
  <c r="H10" i="15" s="1"/>
  <c r="H89" i="16"/>
  <c r="H87" i="16" s="1"/>
  <c r="H10" i="16" s="1"/>
  <c r="F89" i="6"/>
  <c r="F87" i="6" s="1"/>
  <c r="F10" i="6" s="1"/>
  <c r="D10" i="6" s="1"/>
  <c r="F89" i="18"/>
  <c r="F87" i="18" s="1"/>
  <c r="F10" i="18" s="1"/>
  <c r="H89" i="19"/>
  <c r="H87" i="19" s="1"/>
  <c r="H10" i="19" s="1"/>
  <c r="E121" i="20"/>
  <c r="E119" i="20" s="1"/>
  <c r="E130" i="20" s="1"/>
  <c r="E21" i="20" s="1"/>
  <c r="E93" i="21"/>
  <c r="E91" i="21" s="1"/>
  <c r="E10" i="21" s="1"/>
  <c r="G93" i="24"/>
  <c r="G91" i="24" s="1"/>
  <c r="G10" i="24" s="1"/>
  <c r="F93" i="25"/>
  <c r="F91" i="25" s="1"/>
  <c r="F10" i="25" s="1"/>
  <c r="F71" i="26"/>
  <c r="F6" i="26" s="1"/>
  <c r="F7" i="26" s="1"/>
  <c r="G93" i="26"/>
  <c r="G91" i="26" s="1"/>
  <c r="G10" i="26" s="1"/>
  <c r="H93" i="27"/>
  <c r="H91" i="27" s="1"/>
  <c r="H10" i="27" s="1"/>
  <c r="G93" i="28"/>
  <c r="G91" i="28" s="1"/>
  <c r="G10" i="28" s="1"/>
  <c r="G93" i="29"/>
  <c r="G91" i="29" s="1"/>
  <c r="G10" i="29" s="1"/>
  <c r="F89" i="30"/>
  <c r="F87" i="30" s="1"/>
  <c r="F10" i="30" s="1"/>
  <c r="E89" i="31"/>
  <c r="E87" i="31" s="1"/>
  <c r="E10" i="31" s="1"/>
  <c r="G89" i="32"/>
  <c r="G87" i="32" s="1"/>
  <c r="G10" i="32" s="1"/>
  <c r="H89" i="33"/>
  <c r="H87" i="33" s="1"/>
  <c r="H10" i="33" s="1"/>
  <c r="H89" i="34"/>
  <c r="H87" i="34" s="1"/>
  <c r="H10" i="34" s="1"/>
  <c r="E89" i="35"/>
  <c r="E87" i="35" s="1"/>
  <c r="E10" i="35" s="1"/>
  <c r="E147" i="36"/>
  <c r="E145" i="36" s="1"/>
  <c r="E19" i="36" s="1"/>
  <c r="E21" i="36" s="1"/>
  <c r="H93" i="39"/>
  <c r="H91" i="39" s="1"/>
  <c r="H10" i="39" s="1"/>
  <c r="H129" i="40"/>
  <c r="H127" i="40" s="1"/>
  <c r="H138" i="40" s="1"/>
  <c r="H23" i="40" s="1"/>
  <c r="G94" i="41"/>
  <c r="G92" i="41" s="1"/>
  <c r="G10" i="41" s="1"/>
  <c r="F94" i="42"/>
  <c r="F92" i="42" s="1"/>
  <c r="F10" i="42" s="1"/>
  <c r="E93" i="45"/>
  <c r="E91" i="45" s="1"/>
  <c r="E10" i="45" s="1"/>
  <c r="H125" i="46"/>
  <c r="H123" i="46" s="1"/>
  <c r="H14" i="46" s="1"/>
  <c r="E89" i="47"/>
  <c r="E87" i="47" s="1"/>
  <c r="E10" i="47" s="1"/>
  <c r="E12" i="47" s="1"/>
  <c r="E89" i="10"/>
  <c r="E87" i="10" s="1"/>
  <c r="E10" i="10" s="1"/>
  <c r="E89" i="11"/>
  <c r="E87" i="11" s="1"/>
  <c r="E10" i="11" s="1"/>
  <c r="E89" i="14"/>
  <c r="E87" i="14" s="1"/>
  <c r="F89" i="15"/>
  <c r="F87" i="15" s="1"/>
  <c r="F10" i="15" s="1"/>
  <c r="F89" i="19"/>
  <c r="F87" i="19" s="1"/>
  <c r="F10" i="19" s="1"/>
  <c r="D10" i="19" s="1"/>
  <c r="H121" i="20"/>
  <c r="H119" i="20" s="1"/>
  <c r="H15" i="20" s="1"/>
  <c r="F93" i="21"/>
  <c r="F91" i="21" s="1"/>
  <c r="F10" i="21" s="1"/>
  <c r="H93" i="24"/>
  <c r="H91" i="24" s="1"/>
  <c r="H10" i="24" s="1"/>
  <c r="E93" i="25"/>
  <c r="E91" i="25" s="1"/>
  <c r="E10" i="25" s="1"/>
  <c r="E93" i="26"/>
  <c r="E91" i="26" s="1"/>
  <c r="E10" i="26" s="1"/>
  <c r="E12" i="26" s="1"/>
  <c r="E54" i="26" s="1"/>
  <c r="D30" i="38" s="1"/>
  <c r="G93" i="27"/>
  <c r="G91" i="27" s="1"/>
  <c r="G10" i="27" s="1"/>
  <c r="H93" i="28"/>
  <c r="H91" i="28" s="1"/>
  <c r="H10" i="28" s="1"/>
  <c r="H93" i="29"/>
  <c r="H91" i="29" s="1"/>
  <c r="H10" i="29" s="1"/>
  <c r="E89" i="30"/>
  <c r="E87" i="30" s="1"/>
  <c r="E10" i="30" s="1"/>
  <c r="E12" i="30" s="1"/>
  <c r="E50" i="30" s="1"/>
  <c r="D35" i="38" s="1"/>
  <c r="G89" i="31"/>
  <c r="G87" i="31" s="1"/>
  <c r="G10" i="31" s="1"/>
  <c r="E89" i="32"/>
  <c r="E87" i="32" s="1"/>
  <c r="E10" i="32" s="1"/>
  <c r="E12" i="32" s="1"/>
  <c r="E50" i="32" s="1"/>
  <c r="D44" i="38" s="1"/>
  <c r="G89" i="33"/>
  <c r="G87" i="33" s="1"/>
  <c r="G10" i="33" s="1"/>
  <c r="F89" i="34"/>
  <c r="F87" i="34" s="1"/>
  <c r="F10" i="34" s="1"/>
  <c r="F89" i="35"/>
  <c r="F87" i="35" s="1"/>
  <c r="F10" i="35" s="1"/>
  <c r="F147" i="36"/>
  <c r="F145" i="36" s="1"/>
  <c r="F93" i="39"/>
  <c r="F91" i="39" s="1"/>
  <c r="F10" i="39" s="1"/>
  <c r="E94" i="41"/>
  <c r="E92" i="41" s="1"/>
  <c r="E10" i="41" s="1"/>
  <c r="H94" i="42"/>
  <c r="H92" i="42" s="1"/>
  <c r="H10" i="42" s="1"/>
  <c r="G93" i="45"/>
  <c r="G91" i="45" s="1"/>
  <c r="G10" i="45" s="1"/>
  <c r="G125" i="46"/>
  <c r="G123" i="46" s="1"/>
  <c r="G14" i="46" s="1"/>
  <c r="F89" i="47"/>
  <c r="F87" i="47" s="1"/>
  <c r="F10" i="47" s="1"/>
  <c r="F12" i="47" s="1"/>
  <c r="E89" i="13"/>
  <c r="E87" i="13" s="1"/>
  <c r="E10" i="13" s="1"/>
  <c r="E89" i="18"/>
  <c r="E87" i="18" s="1"/>
  <c r="E10" i="18" s="1"/>
  <c r="E12" i="18" s="1"/>
  <c r="E50" i="18" s="1"/>
  <c r="D41" i="38" s="1"/>
  <c r="G89" i="10"/>
  <c r="G87" i="10" s="1"/>
  <c r="G10" i="10" s="1"/>
  <c r="F89" i="13"/>
  <c r="F87" i="13" s="1"/>
  <c r="F10" i="13" s="1"/>
  <c r="G89" i="18"/>
  <c r="G87" i="18" s="1"/>
  <c r="G10" i="18" s="1"/>
  <c r="G89" i="19"/>
  <c r="G87" i="19" s="1"/>
  <c r="G10" i="19" s="1"/>
  <c r="E93" i="24"/>
  <c r="E91" i="24" s="1"/>
  <c r="E10" i="24" s="1"/>
  <c r="E12" i="24" s="1"/>
  <c r="E54" i="24" s="1"/>
  <c r="D28" i="38" s="1"/>
  <c r="H93" i="25"/>
  <c r="H91" i="25" s="1"/>
  <c r="H10" i="25" s="1"/>
  <c r="F93" i="26"/>
  <c r="F91" i="26" s="1"/>
  <c r="F10" i="26" s="1"/>
  <c r="F93" i="27"/>
  <c r="F91" i="27" s="1"/>
  <c r="F10" i="27" s="1"/>
  <c r="F93" i="28"/>
  <c r="F91" i="28" s="1"/>
  <c r="F10" i="28" s="1"/>
  <c r="F93" i="29"/>
  <c r="F91" i="29" s="1"/>
  <c r="F10" i="29" s="1"/>
  <c r="G89" i="30"/>
  <c r="G87" i="30" s="1"/>
  <c r="G10" i="30" s="1"/>
  <c r="H89" i="31"/>
  <c r="H87" i="31" s="1"/>
  <c r="H10" i="31" s="1"/>
  <c r="F89" i="32"/>
  <c r="F87" i="32" s="1"/>
  <c r="F10" i="32" s="1"/>
  <c r="F89" i="33"/>
  <c r="F87" i="33" s="1"/>
  <c r="F10" i="33" s="1"/>
  <c r="G89" i="34"/>
  <c r="G87" i="34" s="1"/>
  <c r="G10" i="34" s="1"/>
  <c r="G69" i="34"/>
  <c r="H69" i="34" s="1"/>
  <c r="H67" i="34" s="1"/>
  <c r="H6" i="34" s="1"/>
  <c r="G89" i="35"/>
  <c r="G87" i="35" s="1"/>
  <c r="G10" i="35" s="1"/>
  <c r="G147" i="36"/>
  <c r="G145" i="36" s="1"/>
  <c r="G93" i="39"/>
  <c r="G91" i="39" s="1"/>
  <c r="G10" i="39" s="1"/>
  <c r="G129" i="40"/>
  <c r="G127" i="40" s="1"/>
  <c r="G17" i="40" s="1"/>
  <c r="F94" i="41"/>
  <c r="F92" i="41" s="1"/>
  <c r="F10" i="41" s="1"/>
  <c r="E94" i="42"/>
  <c r="E92" i="42" s="1"/>
  <c r="E10" i="42" s="1"/>
  <c r="E12" i="42" s="1"/>
  <c r="H93" i="45"/>
  <c r="H91" i="45" s="1"/>
  <c r="H10" i="45" s="1"/>
  <c r="F125" i="46"/>
  <c r="F123" i="46" s="1"/>
  <c r="F14" i="46" s="1"/>
  <c r="F5" i="40"/>
  <c r="F14" i="40"/>
  <c r="F18" i="40" s="1"/>
  <c r="D20" i="15"/>
  <c r="D22" i="15" s="1"/>
  <c r="F147" i="47"/>
  <c r="F46" i="47" s="1"/>
  <c r="F48" i="47" s="1"/>
  <c r="E12" i="20"/>
  <c r="E16" i="20" s="1"/>
  <c r="E5" i="20"/>
  <c r="H19" i="36"/>
  <c r="F5" i="36"/>
  <c r="F16" i="36" s="1"/>
  <c r="F20" i="36" s="1"/>
  <c r="G138" i="40"/>
  <c r="G23" i="40" s="1"/>
  <c r="F17" i="40"/>
  <c r="F23" i="40"/>
  <c r="D20" i="14"/>
  <c r="D22" i="14" s="1"/>
  <c r="D20" i="18"/>
  <c r="D22" i="18" s="1"/>
  <c r="G147" i="47"/>
  <c r="G46" i="47" s="1"/>
  <c r="G48" i="47" s="1"/>
  <c r="H147" i="47"/>
  <c r="H46" i="47" s="1"/>
  <c r="H48" i="47" s="1"/>
  <c r="F95" i="47"/>
  <c r="F15" i="47" s="1"/>
  <c r="F17" i="47" s="1"/>
  <c r="G97" i="47"/>
  <c r="H69" i="47"/>
  <c r="H67" i="47" s="1"/>
  <c r="H6" i="47" s="1"/>
  <c r="G67" i="47"/>
  <c r="G6" i="47" s="1"/>
  <c r="D10" i="47"/>
  <c r="D12" i="47" s="1"/>
  <c r="F7" i="47"/>
  <c r="G69" i="30"/>
  <c r="G67" i="30" s="1"/>
  <c r="G6" i="30" s="1"/>
  <c r="E17" i="47"/>
  <c r="D50" i="45"/>
  <c r="D52" i="45" s="1"/>
  <c r="E7" i="6"/>
  <c r="E12" i="6" s="1"/>
  <c r="G74" i="42"/>
  <c r="G72" i="42" s="1"/>
  <c r="G6" i="42" s="1"/>
  <c r="F52" i="45"/>
  <c r="E11" i="46"/>
  <c r="E15" i="46" s="1"/>
  <c r="D51" i="46"/>
  <c r="D53" i="46" s="1"/>
  <c r="F100" i="41"/>
  <c r="F15" i="41" s="1"/>
  <c r="F17" i="41" s="1"/>
  <c r="F72" i="46"/>
  <c r="F7" i="46" s="1"/>
  <c r="F5" i="46" s="1"/>
  <c r="G74" i="46"/>
  <c r="E14" i="46"/>
  <c r="F71" i="45"/>
  <c r="F6" i="45" s="1"/>
  <c r="G73" i="45"/>
  <c r="H133" i="46"/>
  <c r="H131" i="46" s="1"/>
  <c r="H19" i="46" s="1"/>
  <c r="H21" i="46" s="1"/>
  <c r="G131" i="46"/>
  <c r="G19" i="46" s="1"/>
  <c r="G101" i="45"/>
  <c r="F99" i="45"/>
  <c r="F15" i="45" s="1"/>
  <c r="F17" i="45" s="1"/>
  <c r="D20" i="6"/>
  <c r="D22" i="6" s="1"/>
  <c r="E7" i="45"/>
  <c r="E17" i="45"/>
  <c r="G73" i="28"/>
  <c r="H73" i="28" s="1"/>
  <c r="H71" i="28" s="1"/>
  <c r="H6" i="28" s="1"/>
  <c r="D50" i="42"/>
  <c r="D52" i="42" s="1"/>
  <c r="F7" i="42"/>
  <c r="E17" i="42"/>
  <c r="G102" i="42"/>
  <c r="F100" i="42"/>
  <c r="F15" i="42" s="1"/>
  <c r="F17" i="42" s="1"/>
  <c r="E7" i="41"/>
  <c r="H102" i="41"/>
  <c r="H100" i="41" s="1"/>
  <c r="H15" i="41" s="1"/>
  <c r="H17" i="41" s="1"/>
  <c r="G100" i="41"/>
  <c r="G15" i="41" s="1"/>
  <c r="G101" i="26"/>
  <c r="H101" i="26" s="1"/>
  <c r="H99" i="26" s="1"/>
  <c r="H15" i="26" s="1"/>
  <c r="H17" i="26" s="1"/>
  <c r="F72" i="41"/>
  <c r="F6" i="41" s="1"/>
  <c r="G74" i="41"/>
  <c r="D50" i="41"/>
  <c r="D52" i="41" s="1"/>
  <c r="G79" i="36"/>
  <c r="H79" i="36" s="1"/>
  <c r="H77" i="36" s="1"/>
  <c r="H7" i="36" s="1"/>
  <c r="E24" i="40"/>
  <c r="D54" i="40"/>
  <c r="D56" i="40" s="1"/>
  <c r="E17" i="40"/>
  <c r="H77" i="40"/>
  <c r="H75" i="40" s="1"/>
  <c r="H7" i="40" s="1"/>
  <c r="F135" i="40"/>
  <c r="F22" i="40" s="1"/>
  <c r="G137" i="40"/>
  <c r="G97" i="32"/>
  <c r="G95" i="32" s="1"/>
  <c r="G15" i="32" s="1"/>
  <c r="G17" i="32" s="1"/>
  <c r="D46" i="32"/>
  <c r="D48" i="32" s="1"/>
  <c r="G99" i="39"/>
  <c r="G15" i="39" s="1"/>
  <c r="H101" i="39"/>
  <c r="H99" i="39" s="1"/>
  <c r="H15" i="39" s="1"/>
  <c r="H17" i="39" s="1"/>
  <c r="G73" i="39"/>
  <c r="F71" i="39"/>
  <c r="F6" i="39" s="1"/>
  <c r="F52" i="39"/>
  <c r="D50" i="39"/>
  <c r="D52" i="39" s="1"/>
  <c r="E7" i="39"/>
  <c r="E12" i="39" s="1"/>
  <c r="D46" i="34"/>
  <c r="D48" i="34" s="1"/>
  <c r="F58" i="36"/>
  <c r="D56" i="36"/>
  <c r="D58" i="36" s="1"/>
  <c r="G153" i="36"/>
  <c r="G24" i="36" s="1"/>
  <c r="H155" i="36"/>
  <c r="H153" i="36" s="1"/>
  <c r="H24" i="36" s="1"/>
  <c r="E7" i="35"/>
  <c r="G69" i="35"/>
  <c r="F67" i="35"/>
  <c r="F6" i="35" s="1"/>
  <c r="D46" i="33"/>
  <c r="D48" i="33" s="1"/>
  <c r="D46" i="35"/>
  <c r="D48" i="35" s="1"/>
  <c r="E17" i="35"/>
  <c r="D50" i="29"/>
  <c r="D52" i="29" s="1"/>
  <c r="G97" i="35"/>
  <c r="F95" i="35"/>
  <c r="F15" i="35" s="1"/>
  <c r="F17" i="35" s="1"/>
  <c r="G95" i="34"/>
  <c r="G15" i="34" s="1"/>
  <c r="G17" i="34" s="1"/>
  <c r="H97" i="34"/>
  <c r="H95" i="34" s="1"/>
  <c r="H15" i="34" s="1"/>
  <c r="H17" i="34" s="1"/>
  <c r="F7" i="34"/>
  <c r="E12" i="34"/>
  <c r="G67" i="34"/>
  <c r="G6" i="34" s="1"/>
  <c r="G97" i="33"/>
  <c r="F95" i="33"/>
  <c r="F15" i="33" s="1"/>
  <c r="F17" i="33" s="1"/>
  <c r="E17" i="33"/>
  <c r="F67" i="33"/>
  <c r="F6" i="33" s="1"/>
  <c r="G69" i="33"/>
  <c r="E7" i="33"/>
  <c r="H69" i="32"/>
  <c r="H67" i="32" s="1"/>
  <c r="H6" i="32" s="1"/>
  <c r="G67" i="32"/>
  <c r="G6" i="32" s="1"/>
  <c r="F7" i="32"/>
  <c r="D46" i="31"/>
  <c r="D48" i="31" s="1"/>
  <c r="G129" i="20"/>
  <c r="G127" i="20" s="1"/>
  <c r="G20" i="20" s="1"/>
  <c r="F52" i="29"/>
  <c r="G69" i="31"/>
  <c r="F67" i="31"/>
  <c r="F6" i="31" s="1"/>
  <c r="E17" i="31"/>
  <c r="G97" i="31"/>
  <c r="F95" i="31"/>
  <c r="F15" i="31" s="1"/>
  <c r="F17" i="31" s="1"/>
  <c r="E7" i="31"/>
  <c r="F7" i="30"/>
  <c r="D46" i="30"/>
  <c r="D48" i="30" s="1"/>
  <c r="G95" i="30"/>
  <c r="G15" i="30" s="1"/>
  <c r="H97" i="30"/>
  <c r="H95" i="30" s="1"/>
  <c r="H15" i="30" s="1"/>
  <c r="H17" i="30" s="1"/>
  <c r="D50" i="28"/>
  <c r="D52" i="28" s="1"/>
  <c r="G73" i="29"/>
  <c r="F71" i="29"/>
  <c r="F6" i="29" s="1"/>
  <c r="E17" i="29"/>
  <c r="E7" i="29"/>
  <c r="E12" i="29" s="1"/>
  <c r="G101" i="29"/>
  <c r="F99" i="29"/>
  <c r="F15" i="29" s="1"/>
  <c r="F17" i="29" s="1"/>
  <c r="E12" i="28"/>
  <c r="D50" i="24"/>
  <c r="D52" i="24" s="1"/>
  <c r="F7" i="28"/>
  <c r="F71" i="27"/>
  <c r="F6" i="27" s="1"/>
  <c r="G73" i="27"/>
  <c r="E7" i="27"/>
  <c r="E12" i="27" s="1"/>
  <c r="E17" i="27"/>
  <c r="D50" i="27"/>
  <c r="D52" i="27" s="1"/>
  <c r="F99" i="27"/>
  <c r="F15" i="27" s="1"/>
  <c r="F17" i="27" s="1"/>
  <c r="G101" i="27"/>
  <c r="G73" i="24"/>
  <c r="G71" i="24" s="1"/>
  <c r="G6" i="24" s="1"/>
  <c r="H73" i="26"/>
  <c r="H71" i="26" s="1"/>
  <c r="H6" i="26" s="1"/>
  <c r="G71" i="26"/>
  <c r="G6" i="26" s="1"/>
  <c r="F52" i="26"/>
  <c r="D50" i="26"/>
  <c r="D52" i="26" s="1"/>
  <c r="E7" i="25"/>
  <c r="E17" i="25"/>
  <c r="G73" i="25"/>
  <c r="F71" i="25"/>
  <c r="F6" i="25" s="1"/>
  <c r="G101" i="25"/>
  <c r="F99" i="25"/>
  <c r="F15" i="25" s="1"/>
  <c r="F17" i="25" s="1"/>
  <c r="F52" i="25"/>
  <c r="D50" i="25"/>
  <c r="D52" i="25" s="1"/>
  <c r="H101" i="24"/>
  <c r="H99" i="24" s="1"/>
  <c r="H15" i="24" s="1"/>
  <c r="H17" i="24" s="1"/>
  <c r="G99" i="24"/>
  <c r="G15" i="24" s="1"/>
  <c r="G17" i="24" s="1"/>
  <c r="D10" i="24"/>
  <c r="F7" i="24"/>
  <c r="F12" i="24" s="1"/>
  <c r="F67" i="18"/>
  <c r="F6" i="18" s="1"/>
  <c r="F7" i="18" s="1"/>
  <c r="F12" i="18" s="1"/>
  <c r="D50" i="21"/>
  <c r="D52" i="21" s="1"/>
  <c r="E17" i="21"/>
  <c r="E7" i="21"/>
  <c r="G101" i="21"/>
  <c r="F99" i="21"/>
  <c r="F15" i="21" s="1"/>
  <c r="F17" i="21" s="1"/>
  <c r="G73" i="21"/>
  <c r="F71" i="21"/>
  <c r="F6" i="21" s="1"/>
  <c r="D52" i="20"/>
  <c r="D54" i="20" s="1"/>
  <c r="F54" i="20"/>
  <c r="D46" i="18"/>
  <c r="D48" i="18" s="1"/>
  <c r="D46" i="19"/>
  <c r="D48" i="19" s="1"/>
  <c r="F12" i="20"/>
  <c r="F16" i="20" s="1"/>
  <c r="F17" i="20" s="1"/>
  <c r="G73" i="20"/>
  <c r="G7" i="20" s="1"/>
  <c r="G5" i="20" s="1"/>
  <c r="H75" i="20"/>
  <c r="H73" i="20" s="1"/>
  <c r="H7" i="20" s="1"/>
  <c r="H5" i="20" s="1"/>
  <c r="E17" i="19"/>
  <c r="G97" i="19"/>
  <c r="F95" i="19"/>
  <c r="F15" i="19" s="1"/>
  <c r="F17" i="19" s="1"/>
  <c r="E7" i="19"/>
  <c r="E12" i="19" s="1"/>
  <c r="G69" i="19"/>
  <c r="F67" i="19"/>
  <c r="F6" i="19" s="1"/>
  <c r="G69" i="14"/>
  <c r="H69" i="14" s="1"/>
  <c r="H67" i="14" s="1"/>
  <c r="H6" i="14" s="1"/>
  <c r="G97" i="16"/>
  <c r="H97" i="16" s="1"/>
  <c r="H95" i="16" s="1"/>
  <c r="H15" i="16" s="1"/>
  <c r="H17" i="16" s="1"/>
  <c r="H97" i="18"/>
  <c r="H95" i="18" s="1"/>
  <c r="H15" i="18" s="1"/>
  <c r="H17" i="18" s="1"/>
  <c r="G95" i="18"/>
  <c r="G15" i="18" s="1"/>
  <c r="H69" i="18"/>
  <c r="H67" i="18" s="1"/>
  <c r="H6" i="18" s="1"/>
  <c r="G67" i="18"/>
  <c r="G6" i="18" s="1"/>
  <c r="H69" i="16"/>
  <c r="H67" i="16" s="1"/>
  <c r="H6" i="16" s="1"/>
  <c r="G67" i="16"/>
  <c r="G6" i="16" s="1"/>
  <c r="E12" i="16"/>
  <c r="E50" i="16" s="1"/>
  <c r="D25" i="38" s="1"/>
  <c r="F7" i="16"/>
  <c r="G97" i="15"/>
  <c r="F95" i="15"/>
  <c r="F15" i="15" s="1"/>
  <c r="F17" i="15" s="1"/>
  <c r="E7" i="15"/>
  <c r="E12" i="15" s="1"/>
  <c r="G69" i="15"/>
  <c r="F67" i="15"/>
  <c r="F6" i="15" s="1"/>
  <c r="E17" i="15"/>
  <c r="G95" i="14"/>
  <c r="H97" i="14"/>
  <c r="H95" i="14" s="1"/>
  <c r="H15" i="14" s="1"/>
  <c r="H17" i="14" s="1"/>
  <c r="F7" i="14"/>
  <c r="F12" i="14" s="1"/>
  <c r="G69" i="13"/>
  <c r="F67" i="13"/>
  <c r="F6" i="13" s="1"/>
  <c r="E17" i="13"/>
  <c r="E7" i="13"/>
  <c r="G97" i="13"/>
  <c r="F95" i="13"/>
  <c r="F15" i="13" s="1"/>
  <c r="F17" i="13" s="1"/>
  <c r="F95" i="11"/>
  <c r="F15" i="11" s="1"/>
  <c r="F17" i="11" s="1"/>
  <c r="G97" i="11"/>
  <c r="E7" i="11"/>
  <c r="D10" i="11"/>
  <c r="E17" i="11"/>
  <c r="F67" i="11"/>
  <c r="F6" i="11" s="1"/>
  <c r="G69" i="11"/>
  <c r="D20" i="8"/>
  <c r="D22" i="8" s="1"/>
  <c r="F7" i="10"/>
  <c r="G95" i="10"/>
  <c r="G15" i="10" s="1"/>
  <c r="H97" i="10"/>
  <c r="H95" i="10" s="1"/>
  <c r="H15" i="10" s="1"/>
  <c r="H17" i="10" s="1"/>
  <c r="G67" i="10"/>
  <c r="G6" i="10" s="1"/>
  <c r="H69" i="10"/>
  <c r="H67" i="10" s="1"/>
  <c r="H6" i="10" s="1"/>
  <c r="G97" i="6"/>
  <c r="F95" i="6"/>
  <c r="F15" i="6" s="1"/>
  <c r="E17" i="8"/>
  <c r="E50" i="8" s="1"/>
  <c r="D15" i="38" s="1"/>
  <c r="F67" i="8"/>
  <c r="F6" i="8" s="1"/>
  <c r="G69" i="8"/>
  <c r="F95" i="8"/>
  <c r="F15" i="8" s="1"/>
  <c r="F17" i="8" s="1"/>
  <c r="G97" i="8"/>
  <c r="G69" i="6"/>
  <c r="F67" i="6"/>
  <c r="F6" i="6" s="1"/>
  <c r="F7" i="6" s="1"/>
  <c r="F12" i="6" s="1"/>
  <c r="F12" i="10" l="1"/>
  <c r="F50" i="10" s="1"/>
  <c r="E17" i="38" s="1"/>
  <c r="D10" i="28"/>
  <c r="E12" i="31"/>
  <c r="E50" i="34"/>
  <c r="D46" i="38" s="1"/>
  <c r="E12" i="35"/>
  <c r="D10" i="10"/>
  <c r="G101" i="28"/>
  <c r="F99" i="28"/>
  <c r="F15" i="28" s="1"/>
  <c r="F17" i="28" s="1"/>
  <c r="F12" i="32"/>
  <c r="F50" i="32" s="1"/>
  <c r="E44" i="38" s="1"/>
  <c r="E12" i="10"/>
  <c r="E50" i="10" s="1"/>
  <c r="D17" i="38" s="1"/>
  <c r="E12" i="25"/>
  <c r="E54" i="25" s="1"/>
  <c r="D29" i="38" s="1"/>
  <c r="E54" i="28"/>
  <c r="D36" i="38" s="1"/>
  <c r="D10" i="32"/>
  <c r="D10" i="15"/>
  <c r="F12" i="16"/>
  <c r="F19" i="40"/>
  <c r="D10" i="33"/>
  <c r="D10" i="29"/>
  <c r="D10" i="25"/>
  <c r="D10" i="41"/>
  <c r="D10" i="39"/>
  <c r="D10" i="16"/>
  <c r="F12" i="42"/>
  <c r="F54" i="42" s="1"/>
  <c r="E22" i="38" s="1"/>
  <c r="D10" i="18"/>
  <c r="G156" i="36"/>
  <c r="G25" i="36" s="1"/>
  <c r="G26" i="36" s="1"/>
  <c r="E12" i="11"/>
  <c r="E50" i="11" s="1"/>
  <c r="D18" i="38" s="1"/>
  <c r="G15" i="14"/>
  <c r="D15" i="14" s="1"/>
  <c r="D17" i="14" s="1"/>
  <c r="F12" i="34"/>
  <c r="F50" i="34" s="1"/>
  <c r="E46" i="38" s="1"/>
  <c r="H26" i="36"/>
  <c r="E15" i="20"/>
  <c r="D15" i="20" s="1"/>
  <c r="E12" i="41"/>
  <c r="E54" i="41" s="1"/>
  <c r="D21" i="38" s="1"/>
  <c r="F156" i="36"/>
  <c r="F25" i="36" s="1"/>
  <c r="F26" i="36" s="1"/>
  <c r="D10" i="45"/>
  <c r="D10" i="34"/>
  <c r="D10" i="26"/>
  <c r="D10" i="13"/>
  <c r="D10" i="42"/>
  <c r="D10" i="35"/>
  <c r="D10" i="31"/>
  <c r="D10" i="27"/>
  <c r="D10" i="14"/>
  <c r="E10" i="14"/>
  <c r="E12" i="14" s="1"/>
  <c r="E50" i="14" s="1"/>
  <c r="D24" i="38" s="1"/>
  <c r="D10" i="30"/>
  <c r="E156" i="36"/>
  <c r="E25" i="36" s="1"/>
  <c r="G19" i="36"/>
  <c r="F19" i="36"/>
  <c r="F21" i="36" s="1"/>
  <c r="E12" i="21"/>
  <c r="F12" i="26"/>
  <c r="H17" i="40"/>
  <c r="D17" i="40" s="1"/>
  <c r="F24" i="40"/>
  <c r="H69" i="30"/>
  <c r="H67" i="30" s="1"/>
  <c r="H6" i="30" s="1"/>
  <c r="H14" i="40"/>
  <c r="H18" i="40" s="1"/>
  <c r="H5" i="40"/>
  <c r="G14" i="40"/>
  <c r="G18" i="40" s="1"/>
  <c r="G19" i="40" s="1"/>
  <c r="G5" i="40"/>
  <c r="H97" i="32"/>
  <c r="H95" i="32" s="1"/>
  <c r="H15" i="32" s="1"/>
  <c r="H17" i="32" s="1"/>
  <c r="F130" i="20"/>
  <c r="E22" i="20"/>
  <c r="H5" i="36"/>
  <c r="H16" i="36" s="1"/>
  <c r="H20" i="36" s="1"/>
  <c r="H21" i="36" s="1"/>
  <c r="D23" i="40"/>
  <c r="D46" i="47"/>
  <c r="D48" i="47" s="1"/>
  <c r="E50" i="47"/>
  <c r="D20" i="38" s="1"/>
  <c r="F50" i="47"/>
  <c r="E20" i="38" s="1"/>
  <c r="G7" i="47"/>
  <c r="H7" i="47"/>
  <c r="D6" i="47"/>
  <c r="H97" i="47"/>
  <c r="H95" i="47" s="1"/>
  <c r="H15" i="47" s="1"/>
  <c r="H17" i="47" s="1"/>
  <c r="G95" i="47"/>
  <c r="G15" i="47" s="1"/>
  <c r="E50" i="6"/>
  <c r="D11" i="38" s="1"/>
  <c r="G71" i="28"/>
  <c r="G6" i="28" s="1"/>
  <c r="G7" i="28" s="1"/>
  <c r="G12" i="28" s="1"/>
  <c r="H74" i="42"/>
  <c r="H72" i="42" s="1"/>
  <c r="H6" i="42" s="1"/>
  <c r="H7" i="42" s="1"/>
  <c r="H12" i="42" s="1"/>
  <c r="F11" i="46"/>
  <c r="F15" i="46" s="1"/>
  <c r="F16" i="46" s="1"/>
  <c r="G21" i="46"/>
  <c r="D19" i="46"/>
  <c r="D21" i="46" s="1"/>
  <c r="D14" i="46"/>
  <c r="E16" i="46"/>
  <c r="E55" i="46" s="1"/>
  <c r="D10" i="38" s="1"/>
  <c r="G71" i="45"/>
  <c r="G6" i="45" s="1"/>
  <c r="H73" i="45"/>
  <c r="H71" i="45" s="1"/>
  <c r="H6" i="45" s="1"/>
  <c r="H74" i="46"/>
  <c r="H72" i="46" s="1"/>
  <c r="H7" i="46" s="1"/>
  <c r="H5" i="46" s="1"/>
  <c r="G72" i="46"/>
  <c r="G7" i="46" s="1"/>
  <c r="G5" i="46" s="1"/>
  <c r="F7" i="45"/>
  <c r="F12" i="45" s="1"/>
  <c r="G99" i="45"/>
  <c r="G15" i="45" s="1"/>
  <c r="H101" i="45"/>
  <c r="H99" i="45" s="1"/>
  <c r="H15" i="45" s="1"/>
  <c r="H17" i="45" s="1"/>
  <c r="E12" i="45"/>
  <c r="E54" i="45" s="1"/>
  <c r="D16" i="38" s="1"/>
  <c r="E54" i="42"/>
  <c r="D22" i="38" s="1"/>
  <c r="G100" i="42"/>
  <c r="G15" i="42" s="1"/>
  <c r="H102" i="42"/>
  <c r="H100" i="42" s="1"/>
  <c r="H15" i="42" s="1"/>
  <c r="H17" i="42" s="1"/>
  <c r="G7" i="42"/>
  <c r="G99" i="26"/>
  <c r="G15" i="26" s="1"/>
  <c r="G17" i="26" s="1"/>
  <c r="H74" i="41"/>
  <c r="H72" i="41" s="1"/>
  <c r="H6" i="41" s="1"/>
  <c r="G72" i="41"/>
  <c r="G6" i="41" s="1"/>
  <c r="F7" i="41"/>
  <c r="F12" i="41" s="1"/>
  <c r="G17" i="41"/>
  <c r="D15" i="41"/>
  <c r="D17" i="41" s="1"/>
  <c r="G77" i="36"/>
  <c r="G7" i="36" s="1"/>
  <c r="E19" i="40"/>
  <c r="E58" i="40" s="1"/>
  <c r="D9" i="38" s="1"/>
  <c r="G135" i="40"/>
  <c r="G22" i="40" s="1"/>
  <c r="H137" i="40"/>
  <c r="H135" i="40" s="1"/>
  <c r="H22" i="40" s="1"/>
  <c r="H24" i="40" s="1"/>
  <c r="D7" i="40"/>
  <c r="D5" i="40" s="1"/>
  <c r="F7" i="39"/>
  <c r="F12" i="39" s="1"/>
  <c r="F54" i="39" s="1"/>
  <c r="E26" i="38" s="1"/>
  <c r="G71" i="39"/>
  <c r="G6" i="39" s="1"/>
  <c r="H73" i="39"/>
  <c r="H71" i="39" s="1"/>
  <c r="H6" i="39" s="1"/>
  <c r="D23" i="38"/>
  <c r="E54" i="39"/>
  <c r="D26" i="38" s="1"/>
  <c r="G17" i="39"/>
  <c r="D15" i="39"/>
  <c r="D17" i="39" s="1"/>
  <c r="D24" i="36"/>
  <c r="E50" i="35"/>
  <c r="D50" i="38" s="1"/>
  <c r="D51" i="38" s="1"/>
  <c r="G67" i="35"/>
  <c r="G6" i="35" s="1"/>
  <c r="H69" i="35"/>
  <c r="H67" i="35" s="1"/>
  <c r="H6" i="35" s="1"/>
  <c r="H129" i="20"/>
  <c r="H127" i="20" s="1"/>
  <c r="H20" i="20" s="1"/>
  <c r="G95" i="35"/>
  <c r="G15" i="35" s="1"/>
  <c r="G17" i="35" s="1"/>
  <c r="H97" i="35"/>
  <c r="H95" i="35" s="1"/>
  <c r="H15" i="35" s="1"/>
  <c r="H17" i="35" s="1"/>
  <c r="F7" i="35"/>
  <c r="F12" i="35" s="1"/>
  <c r="F50" i="35" s="1"/>
  <c r="E50" i="38" s="1"/>
  <c r="E51" i="38" s="1"/>
  <c r="G7" i="34"/>
  <c r="G12" i="34" s="1"/>
  <c r="D6" i="34"/>
  <c r="D15" i="34"/>
  <c r="D17" i="34" s="1"/>
  <c r="H73" i="24"/>
  <c r="H71" i="24" s="1"/>
  <c r="H6" i="24" s="1"/>
  <c r="D6" i="24" s="1"/>
  <c r="H7" i="34"/>
  <c r="H12" i="34" s="1"/>
  <c r="F7" i="33"/>
  <c r="F12" i="33" s="1"/>
  <c r="E12" i="33"/>
  <c r="E50" i="33" s="1"/>
  <c r="D45" i="38" s="1"/>
  <c r="H97" i="33"/>
  <c r="H95" i="33" s="1"/>
  <c r="H15" i="33" s="1"/>
  <c r="H17" i="33" s="1"/>
  <c r="G95" i="33"/>
  <c r="G15" i="33" s="1"/>
  <c r="G17" i="33" s="1"/>
  <c r="H69" i="33"/>
  <c r="H67" i="33" s="1"/>
  <c r="H6" i="33" s="1"/>
  <c r="G67" i="33"/>
  <c r="G6" i="33" s="1"/>
  <c r="G7" i="32"/>
  <c r="G12" i="32" s="1"/>
  <c r="D6" i="32"/>
  <c r="H7" i="32"/>
  <c r="H12" i="32" s="1"/>
  <c r="E50" i="31"/>
  <c r="D43" i="38" s="1"/>
  <c r="G95" i="31"/>
  <c r="G15" i="31" s="1"/>
  <c r="H97" i="31"/>
  <c r="H95" i="31" s="1"/>
  <c r="H15" i="31" s="1"/>
  <c r="H17" i="31" s="1"/>
  <c r="F7" i="31"/>
  <c r="F12" i="31" s="1"/>
  <c r="G67" i="31"/>
  <c r="G6" i="31" s="1"/>
  <c r="H69" i="31"/>
  <c r="H67" i="31" s="1"/>
  <c r="H6" i="31" s="1"/>
  <c r="D6" i="30"/>
  <c r="D7" i="30" s="1"/>
  <c r="G17" i="30"/>
  <c r="D15" i="30"/>
  <c r="D17" i="30" s="1"/>
  <c r="G7" i="30"/>
  <c r="G12" i="30" s="1"/>
  <c r="H7" i="30"/>
  <c r="H12" i="30" s="1"/>
  <c r="F12" i="30"/>
  <c r="F50" i="30" s="1"/>
  <c r="E35" i="38" s="1"/>
  <c r="F7" i="29"/>
  <c r="F12" i="29" s="1"/>
  <c r="G71" i="29"/>
  <c r="G6" i="29" s="1"/>
  <c r="H73" i="29"/>
  <c r="H71" i="29" s="1"/>
  <c r="H6" i="29" s="1"/>
  <c r="G99" i="29"/>
  <c r="G15" i="29" s="1"/>
  <c r="H101" i="29"/>
  <c r="H99" i="29" s="1"/>
  <c r="H15" i="29" s="1"/>
  <c r="H17" i="29" s="1"/>
  <c r="E54" i="29"/>
  <c r="D37" i="38" s="1"/>
  <c r="F12" i="28"/>
  <c r="H7" i="28"/>
  <c r="H12" i="28" s="1"/>
  <c r="E54" i="27"/>
  <c r="D31" i="38" s="1"/>
  <c r="G71" i="27"/>
  <c r="G6" i="27" s="1"/>
  <c r="H73" i="27"/>
  <c r="H71" i="27" s="1"/>
  <c r="H6" i="27" s="1"/>
  <c r="H101" i="27"/>
  <c r="H99" i="27" s="1"/>
  <c r="H15" i="27" s="1"/>
  <c r="H17" i="27" s="1"/>
  <c r="G99" i="27"/>
  <c r="G15" i="27" s="1"/>
  <c r="G17" i="27" s="1"/>
  <c r="F7" i="27"/>
  <c r="F12" i="27" s="1"/>
  <c r="F54" i="26"/>
  <c r="E30" i="38" s="1"/>
  <c r="G7" i="26"/>
  <c r="D6" i="26"/>
  <c r="H7" i="26"/>
  <c r="H12" i="26" s="1"/>
  <c r="G99" i="25"/>
  <c r="G15" i="25" s="1"/>
  <c r="G17" i="25" s="1"/>
  <c r="H101" i="25"/>
  <c r="H99" i="25" s="1"/>
  <c r="H15" i="25" s="1"/>
  <c r="H17" i="25" s="1"/>
  <c r="F7" i="25"/>
  <c r="F12" i="25" s="1"/>
  <c r="G71" i="25"/>
  <c r="G6" i="25" s="1"/>
  <c r="H73" i="25"/>
  <c r="H71" i="25" s="1"/>
  <c r="H6" i="25" s="1"/>
  <c r="G7" i="24"/>
  <c r="G12" i="24" s="1"/>
  <c r="F54" i="24"/>
  <c r="E28" i="38" s="1"/>
  <c r="D15" i="24"/>
  <c r="D17" i="24" s="1"/>
  <c r="E54" i="21"/>
  <c r="D27" i="38" s="1"/>
  <c r="G99" i="21"/>
  <c r="G15" i="21" s="1"/>
  <c r="H101" i="21"/>
  <c r="H99" i="21" s="1"/>
  <c r="H15" i="21" s="1"/>
  <c r="H17" i="21" s="1"/>
  <c r="F7" i="21"/>
  <c r="F12" i="21" s="1"/>
  <c r="G71" i="21"/>
  <c r="G6" i="21" s="1"/>
  <c r="H73" i="21"/>
  <c r="H71" i="21" s="1"/>
  <c r="H6" i="21" s="1"/>
  <c r="G67" i="14"/>
  <c r="G6" i="14" s="1"/>
  <c r="D6" i="14" s="1"/>
  <c r="D7" i="14" s="1"/>
  <c r="H12" i="20"/>
  <c r="H16" i="20" s="1"/>
  <c r="H17" i="20" s="1"/>
  <c r="G12" i="20"/>
  <c r="G16" i="20" s="1"/>
  <c r="G17" i="20" s="1"/>
  <c r="D7" i="20"/>
  <c r="D5" i="20" s="1"/>
  <c r="E50" i="19"/>
  <c r="D42" i="38" s="1"/>
  <c r="G95" i="19"/>
  <c r="G15" i="19" s="1"/>
  <c r="H97" i="19"/>
  <c r="H95" i="19" s="1"/>
  <c r="H15" i="19" s="1"/>
  <c r="H17" i="19" s="1"/>
  <c r="G95" i="16"/>
  <c r="G15" i="16" s="1"/>
  <c r="G17" i="16" s="1"/>
  <c r="F7" i="19"/>
  <c r="F12" i="19" s="1"/>
  <c r="G67" i="19"/>
  <c r="G6" i="19" s="1"/>
  <c r="H69" i="19"/>
  <c r="H67" i="19" s="1"/>
  <c r="H6" i="19" s="1"/>
  <c r="H7" i="18"/>
  <c r="H12" i="18" s="1"/>
  <c r="F50" i="18"/>
  <c r="E41" i="38" s="1"/>
  <c r="G17" i="18"/>
  <c r="D15" i="18"/>
  <c r="D17" i="18" s="1"/>
  <c r="G7" i="18"/>
  <c r="G12" i="18" s="1"/>
  <c r="D6" i="18"/>
  <c r="G7" i="16"/>
  <c r="G12" i="16" s="1"/>
  <c r="F50" i="16"/>
  <c r="E25" i="38" s="1"/>
  <c r="D6" i="16"/>
  <c r="H7" i="16"/>
  <c r="H12" i="16" s="1"/>
  <c r="G67" i="15"/>
  <c r="G6" i="15" s="1"/>
  <c r="H69" i="15"/>
  <c r="H67" i="15" s="1"/>
  <c r="H6" i="15" s="1"/>
  <c r="F7" i="15"/>
  <c r="F12" i="15" s="1"/>
  <c r="E50" i="15"/>
  <c r="G95" i="15"/>
  <c r="G15" i="15" s="1"/>
  <c r="H97" i="15"/>
  <c r="H95" i="15" s="1"/>
  <c r="H15" i="15" s="1"/>
  <c r="H17" i="15" s="1"/>
  <c r="F50" i="14"/>
  <c r="H7" i="14"/>
  <c r="H12" i="14" s="1"/>
  <c r="E12" i="13"/>
  <c r="E50" i="13" s="1"/>
  <c r="D19" i="38" s="1"/>
  <c r="F7" i="13"/>
  <c r="F12" i="13" s="1"/>
  <c r="H97" i="13"/>
  <c r="H95" i="13" s="1"/>
  <c r="H15" i="13" s="1"/>
  <c r="H17" i="13" s="1"/>
  <c r="G95" i="13"/>
  <c r="G15" i="13" s="1"/>
  <c r="G17" i="13" s="1"/>
  <c r="H69" i="13"/>
  <c r="H67" i="13" s="1"/>
  <c r="H6" i="13" s="1"/>
  <c r="G67" i="13"/>
  <c r="G6" i="13" s="1"/>
  <c r="H97" i="11"/>
  <c r="H95" i="11" s="1"/>
  <c r="H15" i="11" s="1"/>
  <c r="H17" i="11" s="1"/>
  <c r="G95" i="11"/>
  <c r="G15" i="11" s="1"/>
  <c r="F7" i="11"/>
  <c r="F12" i="11" s="1"/>
  <c r="H69" i="11"/>
  <c r="H67" i="11" s="1"/>
  <c r="H6" i="11" s="1"/>
  <c r="G67" i="11"/>
  <c r="G6" i="11" s="1"/>
  <c r="H7" i="10"/>
  <c r="H12" i="10" s="1"/>
  <c r="D6" i="10"/>
  <c r="G7" i="10"/>
  <c r="G12" i="10" s="1"/>
  <c r="G17" i="10"/>
  <c r="D15" i="10"/>
  <c r="D17" i="10" s="1"/>
  <c r="F17" i="6"/>
  <c r="F50" i="6" s="1"/>
  <c r="E11" i="38" s="1"/>
  <c r="H69" i="8"/>
  <c r="H67" i="8" s="1"/>
  <c r="H6" i="8" s="1"/>
  <c r="G67" i="8"/>
  <c r="G6" i="8" s="1"/>
  <c r="G7" i="8" s="1"/>
  <c r="G12" i="8" s="1"/>
  <c r="G95" i="6"/>
  <c r="G15" i="6" s="1"/>
  <c r="G17" i="6" s="1"/>
  <c r="H97" i="6"/>
  <c r="H95" i="6" s="1"/>
  <c r="H15" i="6" s="1"/>
  <c r="H17" i="6" s="1"/>
  <c r="F7" i="8"/>
  <c r="H69" i="6"/>
  <c r="H67" i="6" s="1"/>
  <c r="H6" i="6" s="1"/>
  <c r="H7" i="6" s="1"/>
  <c r="H12" i="6" s="1"/>
  <c r="G67" i="6"/>
  <c r="G6" i="6" s="1"/>
  <c r="H97" i="8"/>
  <c r="H95" i="8" s="1"/>
  <c r="H15" i="8" s="1"/>
  <c r="H17" i="8" s="1"/>
  <c r="G95" i="8"/>
  <c r="G15" i="8" s="1"/>
  <c r="G17" i="8" s="1"/>
  <c r="D38" i="38" l="1"/>
  <c r="D6" i="42"/>
  <c r="D7" i="42" s="1"/>
  <c r="F58" i="40"/>
  <c r="E9" i="38" s="1"/>
  <c r="G17" i="14"/>
  <c r="H101" i="28"/>
  <c r="H99" i="28" s="1"/>
  <c r="H15" i="28" s="1"/>
  <c r="H17" i="28" s="1"/>
  <c r="G99" i="28"/>
  <c r="G15" i="28" s="1"/>
  <c r="G17" i="28" s="1"/>
  <c r="F54" i="28"/>
  <c r="E36" i="38" s="1"/>
  <c r="H19" i="40"/>
  <c r="H58" i="40" s="1"/>
  <c r="G9" i="38" s="1"/>
  <c r="F60" i="36"/>
  <c r="E8" i="38" s="1"/>
  <c r="E17" i="20"/>
  <c r="E56" i="20" s="1"/>
  <c r="D7" i="38" s="1"/>
  <c r="D15" i="32"/>
  <c r="D17" i="32" s="1"/>
  <c r="D19" i="36"/>
  <c r="E26" i="36"/>
  <c r="E60" i="36" s="1"/>
  <c r="D8" i="38" s="1"/>
  <c r="D25" i="36"/>
  <c r="D26" i="36"/>
  <c r="D6" i="45"/>
  <c r="D7" i="45" s="1"/>
  <c r="D6" i="28"/>
  <c r="D7" i="28" s="1"/>
  <c r="G130" i="20"/>
  <c r="F21" i="20"/>
  <c r="G5" i="36"/>
  <c r="G16" i="36" s="1"/>
  <c r="G20" i="36" s="1"/>
  <c r="G21" i="36" s="1"/>
  <c r="G60" i="36" s="1"/>
  <c r="F8" i="38" s="1"/>
  <c r="F55" i="46"/>
  <c r="E10" i="38" s="1"/>
  <c r="D47" i="38"/>
  <c r="D32" i="38"/>
  <c r="H50" i="47"/>
  <c r="G20" i="38" s="1"/>
  <c r="G17" i="47"/>
  <c r="G50" i="47" s="1"/>
  <c r="F20" i="38" s="1"/>
  <c r="D15" i="47"/>
  <c r="D17" i="47" s="1"/>
  <c r="D7" i="47"/>
  <c r="D7" i="46"/>
  <c r="H11" i="46"/>
  <c r="H15" i="46" s="1"/>
  <c r="H16" i="46" s="1"/>
  <c r="G11" i="46"/>
  <c r="G15" i="46" s="1"/>
  <c r="G16" i="46" s="1"/>
  <c r="G55" i="46" s="1"/>
  <c r="F10" i="38" s="1"/>
  <c r="G17" i="45"/>
  <c r="D15" i="45"/>
  <c r="D17" i="45" s="1"/>
  <c r="G7" i="45"/>
  <c r="H7" i="45"/>
  <c r="H12" i="45" s="1"/>
  <c r="F54" i="45"/>
  <c r="E16" i="38" s="1"/>
  <c r="H54" i="42"/>
  <c r="G22" i="38" s="1"/>
  <c r="D15" i="26"/>
  <c r="D17" i="26" s="1"/>
  <c r="D7" i="36"/>
  <c r="G17" i="42"/>
  <c r="D15" i="42"/>
  <c r="D17" i="42" s="1"/>
  <c r="D6" i="41"/>
  <c r="D11" i="42"/>
  <c r="D12" i="42" s="1"/>
  <c r="G12" i="42"/>
  <c r="G54" i="42" s="1"/>
  <c r="F22" i="38" s="1"/>
  <c r="F54" i="41"/>
  <c r="E21" i="38" s="1"/>
  <c r="D7" i="41"/>
  <c r="H7" i="41"/>
  <c r="H12" i="41" s="1"/>
  <c r="G7" i="41"/>
  <c r="G24" i="40"/>
  <c r="G58" i="40" s="1"/>
  <c r="F9" i="38" s="1"/>
  <c r="D22" i="40"/>
  <c r="D24" i="40" s="1"/>
  <c r="D18" i="40"/>
  <c r="D14" i="40"/>
  <c r="H7" i="39"/>
  <c r="H12" i="39" s="1"/>
  <c r="E24" i="38"/>
  <c r="E23" i="38"/>
  <c r="G7" i="39"/>
  <c r="G12" i="39" s="1"/>
  <c r="D6" i="39"/>
  <c r="D20" i="20"/>
  <c r="H7" i="24"/>
  <c r="H12" i="24" s="1"/>
  <c r="H60" i="36"/>
  <c r="G8" i="38" s="1"/>
  <c r="H7" i="35"/>
  <c r="H12" i="35" s="1"/>
  <c r="G7" i="35"/>
  <c r="D6" i="35"/>
  <c r="D15" i="33"/>
  <c r="D17" i="33" s="1"/>
  <c r="D6" i="33"/>
  <c r="D7" i="33" s="1"/>
  <c r="D11" i="34"/>
  <c r="D12" i="34" s="1"/>
  <c r="D15" i="35"/>
  <c r="D17" i="35" s="1"/>
  <c r="D7" i="34"/>
  <c r="H50" i="34"/>
  <c r="G46" i="38" s="1"/>
  <c r="F50" i="33"/>
  <c r="E45" i="38" s="1"/>
  <c r="G50" i="34"/>
  <c r="F46" i="38" s="1"/>
  <c r="H7" i="33"/>
  <c r="H12" i="33" s="1"/>
  <c r="G7" i="33"/>
  <c r="H50" i="32"/>
  <c r="G44" i="38" s="1"/>
  <c r="G50" i="32"/>
  <c r="F44" i="38" s="1"/>
  <c r="D11" i="32"/>
  <c r="D12" i="32" s="1"/>
  <c r="D7" i="32"/>
  <c r="G7" i="31"/>
  <c r="G12" i="31" s="1"/>
  <c r="D6" i="31"/>
  <c r="G17" i="31"/>
  <c r="D15" i="31"/>
  <c r="D17" i="31" s="1"/>
  <c r="H7" i="31"/>
  <c r="H12" i="31" s="1"/>
  <c r="F50" i="31"/>
  <c r="E43" i="38" s="1"/>
  <c r="G50" i="30"/>
  <c r="F35" i="38" s="1"/>
  <c r="H50" i="30"/>
  <c r="G35" i="38" s="1"/>
  <c r="D11" i="30"/>
  <c r="G17" i="29"/>
  <c r="D15" i="29"/>
  <c r="D17" i="29" s="1"/>
  <c r="G7" i="29"/>
  <c r="D6" i="29"/>
  <c r="H54" i="26"/>
  <c r="G30" i="38" s="1"/>
  <c r="H7" i="29"/>
  <c r="H12" i="29" s="1"/>
  <c r="F54" i="29"/>
  <c r="E37" i="38" s="1"/>
  <c r="E38" i="38" s="1"/>
  <c r="G54" i="28"/>
  <c r="F36" i="38" s="1"/>
  <c r="D15" i="25"/>
  <c r="D17" i="25" s="1"/>
  <c r="D11" i="28"/>
  <c r="D12" i="28" s="1"/>
  <c r="D6" i="25"/>
  <c r="D7" i="25" s="1"/>
  <c r="F54" i="27"/>
  <c r="E31" i="38" s="1"/>
  <c r="G7" i="27"/>
  <c r="G12" i="27" s="1"/>
  <c r="D6" i="27"/>
  <c r="H7" i="27"/>
  <c r="H12" i="27" s="1"/>
  <c r="D15" i="27"/>
  <c r="D17" i="27" s="1"/>
  <c r="D7" i="26"/>
  <c r="G12" i="26"/>
  <c r="G54" i="26" s="1"/>
  <c r="F30" i="38" s="1"/>
  <c r="D11" i="26"/>
  <c r="D12" i="26" s="1"/>
  <c r="F54" i="25"/>
  <c r="E29" i="38" s="1"/>
  <c r="H7" i="25"/>
  <c r="H12" i="25" s="1"/>
  <c r="G7" i="25"/>
  <c r="G12" i="25" s="1"/>
  <c r="D7" i="24"/>
  <c r="G54" i="24"/>
  <c r="F28" i="38" s="1"/>
  <c r="F54" i="21"/>
  <c r="E27" i="38" s="1"/>
  <c r="G7" i="14"/>
  <c r="G12" i="14" s="1"/>
  <c r="H7" i="21"/>
  <c r="H12" i="21" s="1"/>
  <c r="G7" i="21"/>
  <c r="D6" i="21"/>
  <c r="G17" i="21"/>
  <c r="D15" i="21"/>
  <c r="D17" i="21" s="1"/>
  <c r="D16" i="20"/>
  <c r="D17" i="20" s="1"/>
  <c r="D12" i="20"/>
  <c r="G7" i="19"/>
  <c r="F50" i="19"/>
  <c r="E42" i="38" s="1"/>
  <c r="G17" i="19"/>
  <c r="D15" i="19"/>
  <c r="D17" i="19" s="1"/>
  <c r="D15" i="16"/>
  <c r="D17" i="16" s="1"/>
  <c r="H7" i="19"/>
  <c r="H12" i="19" s="1"/>
  <c r="D6" i="19"/>
  <c r="G50" i="18"/>
  <c r="F41" i="38" s="1"/>
  <c r="D11" i="18"/>
  <c r="D12" i="18" s="1"/>
  <c r="D7" i="18"/>
  <c r="H50" i="18"/>
  <c r="G41" i="38" s="1"/>
  <c r="F50" i="15"/>
  <c r="H50" i="16"/>
  <c r="G25" i="38" s="1"/>
  <c r="D11" i="16"/>
  <c r="D12" i="16" s="1"/>
  <c r="D7" i="16"/>
  <c r="G50" i="16"/>
  <c r="F25" i="38" s="1"/>
  <c r="G17" i="15"/>
  <c r="D15" i="15"/>
  <c r="D17" i="15" s="1"/>
  <c r="H7" i="15"/>
  <c r="H12" i="15" s="1"/>
  <c r="G7" i="15"/>
  <c r="D6" i="15"/>
  <c r="H50" i="14"/>
  <c r="D15" i="13"/>
  <c r="D17" i="13" s="1"/>
  <c r="F50" i="13"/>
  <c r="E19" i="38" s="1"/>
  <c r="G7" i="13"/>
  <c r="G12" i="13" s="1"/>
  <c r="D6" i="13"/>
  <c r="H7" i="13"/>
  <c r="H12" i="13" s="1"/>
  <c r="F50" i="11"/>
  <c r="E18" i="38" s="1"/>
  <c r="G17" i="11"/>
  <c r="D15" i="11"/>
  <c r="D17" i="11" s="1"/>
  <c r="G7" i="11"/>
  <c r="H7" i="11"/>
  <c r="H12" i="11" s="1"/>
  <c r="D6" i="11"/>
  <c r="H50" i="10"/>
  <c r="G17" i="38" s="1"/>
  <c r="G50" i="8"/>
  <c r="F15" i="38" s="1"/>
  <c r="G50" i="10"/>
  <c r="F17" i="38" s="1"/>
  <c r="D15" i="8"/>
  <c r="D17" i="8" s="1"/>
  <c r="D11" i="10"/>
  <c r="D12" i="10" s="1"/>
  <c r="D7" i="10"/>
  <c r="D6" i="8"/>
  <c r="H7" i="8"/>
  <c r="H12" i="8" s="1"/>
  <c r="H50" i="6"/>
  <c r="G11" i="38" s="1"/>
  <c r="F12" i="8"/>
  <c r="F50" i="8" s="1"/>
  <c r="E15" i="38" s="1"/>
  <c r="D15" i="6"/>
  <c r="D17" i="6" s="1"/>
  <c r="G7" i="6"/>
  <c r="D6" i="6"/>
  <c r="H54" i="28" l="1"/>
  <c r="G36" i="38" s="1"/>
  <c r="D15" i="28"/>
  <c r="D17" i="28" s="1"/>
  <c r="D12" i="38"/>
  <c r="D53" i="38" s="1"/>
  <c r="D11" i="46"/>
  <c r="D5" i="46"/>
  <c r="C9" i="38"/>
  <c r="H130" i="20"/>
  <c r="H21" i="20" s="1"/>
  <c r="G21" i="20"/>
  <c r="F22" i="20"/>
  <c r="F56" i="20" s="1"/>
  <c r="E7" i="38" s="1"/>
  <c r="D5" i="36"/>
  <c r="D16" i="36" s="1"/>
  <c r="D20" i="36"/>
  <c r="D21" i="36" s="1"/>
  <c r="H55" i="46"/>
  <c r="G10" i="38" s="1"/>
  <c r="C10" i="38" s="1"/>
  <c r="D15" i="46"/>
  <c r="D16" i="46" s="1"/>
  <c r="C20" i="38"/>
  <c r="E47" i="38"/>
  <c r="C22" i="38"/>
  <c r="E32" i="38"/>
  <c r="D50" i="47"/>
  <c r="D50" i="10"/>
  <c r="D7" i="6"/>
  <c r="H54" i="45"/>
  <c r="G16" i="38" s="1"/>
  <c r="G12" i="45"/>
  <c r="G54" i="45" s="1"/>
  <c r="F16" i="38" s="1"/>
  <c r="D11" i="45"/>
  <c r="D12" i="45" s="1"/>
  <c r="D54" i="42"/>
  <c r="H54" i="41"/>
  <c r="G21" i="38" s="1"/>
  <c r="G12" i="41"/>
  <c r="G54" i="41" s="1"/>
  <c r="F21" i="38" s="1"/>
  <c r="D11" i="41"/>
  <c r="C35" i="38"/>
  <c r="D19" i="40"/>
  <c r="D58" i="40" s="1"/>
  <c r="C17" i="38"/>
  <c r="C41" i="38"/>
  <c r="C46" i="38"/>
  <c r="C8" i="38"/>
  <c r="C25" i="38"/>
  <c r="C30" i="38"/>
  <c r="C36" i="38"/>
  <c r="C44" i="38"/>
  <c r="D7" i="39"/>
  <c r="G54" i="39"/>
  <c r="F26" i="38" s="1"/>
  <c r="H54" i="39"/>
  <c r="G26" i="38" s="1"/>
  <c r="G24" i="38"/>
  <c r="G23" i="38"/>
  <c r="D11" i="39"/>
  <c r="D12" i="39" s="1"/>
  <c r="D11" i="24"/>
  <c r="D12" i="24" s="1"/>
  <c r="H54" i="24"/>
  <c r="G28" i="38" s="1"/>
  <c r="C28" i="38" s="1"/>
  <c r="D50" i="34"/>
  <c r="D7" i="35"/>
  <c r="H50" i="35"/>
  <c r="G50" i="38" s="1"/>
  <c r="G51" i="38" s="1"/>
  <c r="G12" i="35"/>
  <c r="G50" i="35" s="1"/>
  <c r="F50" i="38" s="1"/>
  <c r="F51" i="38" s="1"/>
  <c r="D11" i="35"/>
  <c r="D12" i="35" s="1"/>
  <c r="H50" i="33"/>
  <c r="G45" i="38" s="1"/>
  <c r="G12" i="33"/>
  <c r="G50" i="33" s="1"/>
  <c r="F45" i="38" s="1"/>
  <c r="D11" i="33"/>
  <c r="D12" i="33" s="1"/>
  <c r="D50" i="33" s="1"/>
  <c r="D50" i="32"/>
  <c r="H50" i="31"/>
  <c r="G43" i="38" s="1"/>
  <c r="D7" i="31"/>
  <c r="D11" i="31"/>
  <c r="D12" i="31" s="1"/>
  <c r="G50" i="31"/>
  <c r="F43" i="38" s="1"/>
  <c r="D12" i="30"/>
  <c r="D50" i="30" s="1"/>
  <c r="G12" i="29"/>
  <c r="G54" i="29" s="1"/>
  <c r="F37" i="38" s="1"/>
  <c r="F38" i="38" s="1"/>
  <c r="D11" i="29"/>
  <c r="D12" i="29" s="1"/>
  <c r="H54" i="29"/>
  <c r="G37" i="38" s="1"/>
  <c r="G38" i="38" s="1"/>
  <c r="D7" i="29"/>
  <c r="D54" i="28"/>
  <c r="H54" i="27"/>
  <c r="G31" i="38" s="1"/>
  <c r="G54" i="27"/>
  <c r="F31" i="38" s="1"/>
  <c r="D11" i="27"/>
  <c r="D12" i="27" s="1"/>
  <c r="G54" i="25"/>
  <c r="F29" i="38" s="1"/>
  <c r="D7" i="27"/>
  <c r="D54" i="26"/>
  <c r="G50" i="14"/>
  <c r="D11" i="25"/>
  <c r="H54" i="25"/>
  <c r="G29" i="38" s="1"/>
  <c r="D11" i="14"/>
  <c r="D12" i="14" s="1"/>
  <c r="H54" i="21"/>
  <c r="G27" i="38" s="1"/>
  <c r="G12" i="21"/>
  <c r="G54" i="21" s="1"/>
  <c r="F27" i="38" s="1"/>
  <c r="D11" i="21"/>
  <c r="D12" i="21" s="1"/>
  <c r="D7" i="21"/>
  <c r="H50" i="19"/>
  <c r="G42" i="38" s="1"/>
  <c r="G12" i="19"/>
  <c r="G50" i="19" s="1"/>
  <c r="F42" i="38" s="1"/>
  <c r="D11" i="19"/>
  <c r="D12" i="19" s="1"/>
  <c r="D7" i="19"/>
  <c r="D50" i="18"/>
  <c r="D50" i="16"/>
  <c r="H50" i="15"/>
  <c r="D7" i="15"/>
  <c r="G12" i="15"/>
  <c r="G50" i="15" s="1"/>
  <c r="D11" i="15"/>
  <c r="D12" i="15" s="1"/>
  <c r="D11" i="13"/>
  <c r="D12" i="13" s="1"/>
  <c r="D7" i="13"/>
  <c r="G50" i="13"/>
  <c r="F19" i="38" s="1"/>
  <c r="H50" i="13"/>
  <c r="G19" i="38" s="1"/>
  <c r="H50" i="11"/>
  <c r="G18" i="38" s="1"/>
  <c r="D7" i="11"/>
  <c r="G12" i="11"/>
  <c r="G50" i="11" s="1"/>
  <c r="F18" i="38" s="1"/>
  <c r="D11" i="11"/>
  <c r="D12" i="11" s="1"/>
  <c r="D11" i="8"/>
  <c r="D12" i="8" s="1"/>
  <c r="H50" i="8"/>
  <c r="G15" i="38" s="1"/>
  <c r="C15" i="38" s="1"/>
  <c r="G12" i="6"/>
  <c r="G50" i="6" s="1"/>
  <c r="F11" i="38" s="1"/>
  <c r="C11" i="38" s="1"/>
  <c r="D11" i="6"/>
  <c r="D12" i="6" s="1"/>
  <c r="D7" i="8"/>
  <c r="D21" i="20" l="1"/>
  <c r="D22" i="20" s="1"/>
  <c r="D55" i="46"/>
  <c r="D60" i="36"/>
  <c r="E12" i="38"/>
  <c r="E53" i="38" s="1"/>
  <c r="G22" i="20"/>
  <c r="G56" i="20" s="1"/>
  <c r="F7" i="38" s="1"/>
  <c r="H22" i="20"/>
  <c r="H56" i="20" s="1"/>
  <c r="G7" i="38" s="1"/>
  <c r="G12" i="38" s="1"/>
  <c r="F47" i="38"/>
  <c r="C16" i="38"/>
  <c r="G47" i="38"/>
  <c r="C26" i="38"/>
  <c r="G32" i="38"/>
  <c r="C21" i="38"/>
  <c r="D50" i="6"/>
  <c r="D54" i="39"/>
  <c r="D54" i="45"/>
  <c r="D12" i="41"/>
  <c r="D54" i="41" s="1"/>
  <c r="C31" i="38"/>
  <c r="C43" i="38"/>
  <c r="C27" i="38"/>
  <c r="C45" i="38"/>
  <c r="C42" i="38"/>
  <c r="C18" i="38"/>
  <c r="C29" i="38"/>
  <c r="C37" i="38"/>
  <c r="C38" i="38" s="1"/>
  <c r="C19" i="38"/>
  <c r="C50" i="38"/>
  <c r="C51" i="38" s="1"/>
  <c r="F23" i="38"/>
  <c r="C23" i="38" s="1"/>
  <c r="F24" i="38"/>
  <c r="C24" i="38" s="1"/>
  <c r="D54" i="24"/>
  <c r="D50" i="35"/>
  <c r="D50" i="31"/>
  <c r="D54" i="29"/>
  <c r="D54" i="27"/>
  <c r="D50" i="14"/>
  <c r="D54" i="21"/>
  <c r="D12" i="25"/>
  <c r="D54" i="25" s="1"/>
  <c r="D50" i="19"/>
  <c r="D50" i="13"/>
  <c r="D50" i="15"/>
  <c r="D50" i="11"/>
  <c r="D50" i="8"/>
  <c r="D56" i="20" l="1"/>
  <c r="F12" i="38"/>
  <c r="C7" i="38"/>
  <c r="C47" i="38"/>
  <c r="G53" i="38"/>
  <c r="F32" i="38"/>
  <c r="C32" i="38"/>
  <c r="F53" i="38" l="1"/>
  <c r="C12" i="38"/>
  <c r="C53" i="38" s="1"/>
</calcChain>
</file>

<file path=xl/sharedStrings.xml><?xml version="1.0" encoding="utf-8"?>
<sst xmlns="http://schemas.openxmlformats.org/spreadsheetml/2006/main" count="5100" uniqueCount="437">
  <si>
    <t>Աշխատավարձ</t>
  </si>
  <si>
    <t>Մասնագետների աշխատավարձ</t>
  </si>
  <si>
    <t>Հիմնական փորձագետների աշխատավարձ</t>
  </si>
  <si>
    <t>Վարչական անձնակազմի աշխատավարձ</t>
  </si>
  <si>
    <t>Օժանդակ անձնակազմի աշխատավարձ</t>
  </si>
  <si>
    <t>Ընդամենը աշխատավարձ</t>
  </si>
  <si>
    <t>Համախառն աշխատավարձ</t>
  </si>
  <si>
    <t>Կապիտալ ծախսեր</t>
  </si>
  <si>
    <t>Կահույք</t>
  </si>
  <si>
    <t>Այլ</t>
  </si>
  <si>
    <t>Գործուղումներ</t>
  </si>
  <si>
    <t>Անձնակազմի ծախսեր</t>
  </si>
  <si>
    <t>Ներկայացուցչական ծախսեր</t>
  </si>
  <si>
    <t>Տրանսպորտային ծախսեր</t>
  </si>
  <si>
    <t>Լուսա/տեսա նկարահանում</t>
  </si>
  <si>
    <t>Առաջխաղացում սոց. ցանցերով</t>
  </si>
  <si>
    <t>Գրասենյակային և վարչական ծախսեր</t>
  </si>
  <si>
    <t>Կոմունալ վճարներ, կապ, վարձակալություն և տարածքի պահպանման ծախսեր</t>
  </si>
  <si>
    <t>Գրենական պիտույքներ, տնտեսական ապրանքներ</t>
  </si>
  <si>
    <t>Համակարգչային պարագաներ, սարքավորումների սպասարկում և ծրագրային ապահովում</t>
  </si>
  <si>
    <t>Հանրային իրազեկում, հասարակայնության հետ կապեր</t>
  </si>
  <si>
    <t>Հանրային միջոցառումներ</t>
  </si>
  <si>
    <t>Այլ գրասենյակային ծախսեր</t>
  </si>
  <si>
    <t>Ներգրավված տեղական փորձագետների վարձատրություն</t>
  </si>
  <si>
    <t>Նյութերի թարգմանություն</t>
  </si>
  <si>
    <t>Ուսումնական և մեթոդական նյութեր, տեխնոլոգիաներ</t>
  </si>
  <si>
    <t>Սարքավորումներ և տեխնոլոգիաներ</t>
  </si>
  <si>
    <t>Հաշվարկներ</t>
  </si>
  <si>
    <t>Ընդամենը</t>
  </si>
  <si>
    <t>Ծրագրի առաջին տարի</t>
  </si>
  <si>
    <t>Փոխարժեքներ</t>
  </si>
  <si>
    <t>USD/AMD</t>
  </si>
  <si>
    <t>EUR/AMD</t>
  </si>
  <si>
    <t>Գործուղումների հիմնական վայրեր</t>
  </si>
  <si>
    <t>Իտալիա</t>
  </si>
  <si>
    <t>Գիշերակաց</t>
  </si>
  <si>
    <t>Օրապահիկ</t>
  </si>
  <si>
    <t>Հիմնական փորձագետների ընդհանուր քանակ</t>
  </si>
  <si>
    <t>Ներգրավվածության տոկոս</t>
  </si>
  <si>
    <t>Միջին ամսական համախառն աշխատավարձ</t>
  </si>
  <si>
    <t>Ամիսների քանակ</t>
  </si>
  <si>
    <t>Միջին օրական համախառն աշխատավարձ</t>
  </si>
  <si>
    <t>Ավագ մասնագետների ընդհանուր քանակ</t>
  </si>
  <si>
    <t>Ավագ մասնագետների միջին ամսական համախառն աշխատավարձ</t>
  </si>
  <si>
    <t>Կրտսեր մասնագետների ընդհանուր քանակ</t>
  </si>
  <si>
    <t>Կրտսեր մասնագետների միջին ամսական համախառն աշխատավարձ</t>
  </si>
  <si>
    <t>Վարչական աշխատողների ընդհանուր քանակ</t>
  </si>
  <si>
    <t>Վարչական աշխատողների միջին ամսական համախառն աշխատավարձ</t>
  </si>
  <si>
    <t>Օժանդակ աշխատողների ընդհանուր քանակ</t>
  </si>
  <si>
    <t>Օժանդակ անձնակազմի միջին ամսական համախառն աշխատավարձ</t>
  </si>
  <si>
    <t>Արտասահմանյան գործուղումների միջին կանխատեսվող տարեկան քանակ</t>
  </si>
  <si>
    <t>Արտասահմանյան մեկ գործուղման միջին գնահատվող ծախս մեկ անձի համար</t>
  </si>
  <si>
    <t>Տեղական գործուղումների միջին կանխատեսվող տարեկան քանակ</t>
  </si>
  <si>
    <t>Տեղական մեկ գործուղման միջին գնահատվող ծախս մեկ անձի համար</t>
  </si>
  <si>
    <t>Թարգմանվող նյութի կանխատեսվող էջեր</t>
  </si>
  <si>
    <t>Մեկ էջի թարգմանության կանխատեսվող արժեք</t>
  </si>
  <si>
    <t>ք.մ.</t>
  </si>
  <si>
    <t>Աշխատողների ընդհանուր քանակ</t>
  </si>
  <si>
    <t>Շենքեր, շինություններ</t>
  </si>
  <si>
    <t>Մեկ աշխատողի հաշվարկային տարածք</t>
  </si>
  <si>
    <t>1 ք.մ. շինության արժեք</t>
  </si>
  <si>
    <t>Համակարգիչներ</t>
  </si>
  <si>
    <t>Այլ սարքավորումներ</t>
  </si>
  <si>
    <t>Միավորների քանակ</t>
  </si>
  <si>
    <t>Միավոր</t>
  </si>
  <si>
    <t>Միավորի միջին գին</t>
  </si>
  <si>
    <t>Նշումներ</t>
  </si>
  <si>
    <t>Հոդված</t>
  </si>
  <si>
    <t>Ընդամենը անձնակազմի ծախսեր</t>
  </si>
  <si>
    <t>Ընդամենը կապիտալ ծախսեր</t>
  </si>
  <si>
    <t>Ընդամենը գրասենյակային և վարչական ծախսեր</t>
  </si>
  <si>
    <t>Ընդամենը հանրային իրազեկում և հասարակայնության հետ կապեր</t>
  </si>
  <si>
    <t>Արտասահմանյան փորձագետների ընդունում</t>
  </si>
  <si>
    <t>Այլ ներկայացուցչական ծախսեր</t>
  </si>
  <si>
    <t>Նյութեր</t>
  </si>
  <si>
    <t>Ընդամենը նյութեր</t>
  </si>
  <si>
    <t>Ընդամենը ներկայացուցչական ծախսեր</t>
  </si>
  <si>
    <t>Հիմնական փորձագետի աշխատավարձ</t>
  </si>
  <si>
    <t>Միավորների պայմանական դրույքներ, հազար ՀՀ դրամ</t>
  </si>
  <si>
    <t>Միջին արտասահմանյան գործուղում</t>
  </si>
  <si>
    <t>Ներգրավված տեղական փորձագետ</t>
  </si>
  <si>
    <t>Ավագ մասնագետ</t>
  </si>
  <si>
    <t>Կրտսեր մասնագետ</t>
  </si>
  <si>
    <t>Վարչական աշխատող</t>
  </si>
  <si>
    <t>Օժանդակ աշխատող</t>
  </si>
  <si>
    <t>հատ</t>
  </si>
  <si>
    <t>Գրասենյակի ներկայացուցչական ծախսեր</t>
  </si>
  <si>
    <t>բաժին ծախսերից, տոկոս</t>
  </si>
  <si>
    <t>Թարգմանություն</t>
  </si>
  <si>
    <t>էջ</t>
  </si>
  <si>
    <t>1 աշխատողի հաշվով տարածք</t>
  </si>
  <si>
    <t>Համակարգիչ</t>
  </si>
  <si>
    <t>Տարածքի ձեռքբերում</t>
  </si>
  <si>
    <t>Միջին գրասենյակային սարքավորում</t>
  </si>
  <si>
    <t>Միջին գրասենյակային կահույք</t>
  </si>
  <si>
    <t>կտոր</t>
  </si>
  <si>
    <t>Միջին կայքի դոմեն և հոքթինգ</t>
  </si>
  <si>
    <t>ամիս</t>
  </si>
  <si>
    <t>Հանրային միջոցառում</t>
  </si>
  <si>
    <t>100 մասնակից</t>
  </si>
  <si>
    <t>Չամման միավոր</t>
  </si>
  <si>
    <t>Քանակ</t>
  </si>
  <si>
    <t>Դրույք, հազար ՀՀ դրամ</t>
  </si>
  <si>
    <t>Դրույք այլ միավորով</t>
  </si>
  <si>
    <t>ՀՀ ԿԲ 2019 թ. հունվար-հուլիս միջին փոխարժեք</t>
  </si>
  <si>
    <t>Միջին տեղական գործուղում</t>
  </si>
  <si>
    <t>նիշ</t>
  </si>
  <si>
    <t>ք. մ.</t>
  </si>
  <si>
    <t>500 քմ գրասենյակի համար</t>
  </si>
  <si>
    <t xml:space="preserve">Միջին ամսական գրասենյակային ծախսեր </t>
  </si>
  <si>
    <t>օր</t>
  </si>
  <si>
    <t>Հասարակայնության հետ կապեր, հանրային իրազեկում</t>
  </si>
  <si>
    <t>պատվեր, միջոցառում</t>
  </si>
  <si>
    <t>Արտապատվիրակում</t>
  </si>
  <si>
    <t>Գործող նորմեր</t>
  </si>
  <si>
    <t>Տարեկան ինդեքսավորման դրույք</t>
  </si>
  <si>
    <t>տոկոս</t>
  </si>
  <si>
    <t>5 օր, 4 գիշեր գործուղման վճար</t>
  </si>
  <si>
    <t>Այլ ծախսեր</t>
  </si>
  <si>
    <t>3 օր, 2 գիշեր գործուղման վճար</t>
  </si>
  <si>
    <t>Տրանսպորտ</t>
  </si>
  <si>
    <t>Հակակոռուպցիոն քաղաքականության մշակման համար պատասխանատու մարմինների, հասարակական կազմակերպությունների կարողությունների զարգացում</t>
  </si>
  <si>
    <t>Սնունդ</t>
  </si>
  <si>
    <t>Տեղական տրանսպորտ</t>
  </si>
  <si>
    <t>Ավիատոմս</t>
  </si>
  <si>
    <t>1 օր</t>
  </si>
  <si>
    <t>Դիմավորում-ճանապարհում</t>
  </si>
  <si>
    <t>միջին այց</t>
  </si>
  <si>
    <t>մարդ-օր</t>
  </si>
  <si>
    <t>Տեղական փորձագետների միջին ներգրավման ծավալ</t>
  </si>
  <si>
    <t>Անձնակազմի մոտիվացիոն ֆոնդ</t>
  </si>
  <si>
    <t>Միջին այցի տևողություն, օր</t>
  </si>
  <si>
    <t>Բազային աշխատավարձ</t>
  </si>
  <si>
    <t>Դասընթացավարի վարձատրություն</t>
  </si>
  <si>
    <t>Տեղական</t>
  </si>
  <si>
    <t>ժամ</t>
  </si>
  <si>
    <t>Ներգրավված</t>
  </si>
  <si>
    <t>Լսարան</t>
  </si>
  <si>
    <t>Տպագիր նյութեր</t>
  </si>
  <si>
    <t>Մեթոդական նյութեր</t>
  </si>
  <si>
    <t>Սարքավորումներ</t>
  </si>
  <si>
    <t>Սուրճի ընդմիջումներ/սնունդ</t>
  </si>
  <si>
    <t>Ավտրիա, Վիեննա</t>
  </si>
  <si>
    <t>Միջին տիպային դասընթաց</t>
  </si>
  <si>
    <t>Տևողություն</t>
  </si>
  <si>
    <t>Օրական ժամեր</t>
  </si>
  <si>
    <t>Օրեր</t>
  </si>
  <si>
    <t>Դասընթացավարի հոնորար</t>
  </si>
  <si>
    <t>Դասընթացներ</t>
  </si>
  <si>
    <t>Արտասահմանում դասընթացին մասնակցելու վճար</t>
  </si>
  <si>
    <t>1 անձի համար</t>
  </si>
  <si>
    <t>Մասնակիցնրի քանակ</t>
  </si>
  <si>
    <t>Տեղական դասընացի արժեք</t>
  </si>
  <si>
    <t>Դասընթացների քանակ</t>
  </si>
  <si>
    <t>Դասընթաց արտասահմանում</t>
  </si>
  <si>
    <t>1 անձ</t>
  </si>
  <si>
    <t>Դասընթացներ և միջոցառումներ</t>
  </si>
  <si>
    <t>Միջոցառումներ</t>
  </si>
  <si>
    <t>Ընդամենը դասընթացներ և միջոցառումներ</t>
  </si>
  <si>
    <t>Մեկ օրվա կանխատեսվող միջին ծախս</t>
  </si>
  <si>
    <t>Ընդամենը գործողության ֆինանսավորման կարիք</t>
  </si>
  <si>
    <t>Գործուղումների վճարներ</t>
  </si>
  <si>
    <t>Միջազգային փորձագետների միջին այցերի կանխատեսվող քանակ</t>
  </si>
  <si>
    <t>այց</t>
  </si>
  <si>
    <t>15 000 և ավելի բնակչություն ունեցող տեղական ինքնակառավարման մարմիններում կոռուպցիոն ռիսկերի վերհանում, ծրագրերի մշակում և իրականացում</t>
  </si>
  <si>
    <t>Միջին կանխատեսվող քանակ</t>
  </si>
  <si>
    <t>Միավորի միջին կանխատեսվող գին</t>
  </si>
  <si>
    <t>Մոտ 100-200 մասնակցով ներկայացուցչական հանրային միջոցառումների քանակ</t>
  </si>
  <si>
    <t>Մոտ 100-200 մասնակցով ներկայացուցչական հանրային միջոցառման միջին արժեք</t>
  </si>
  <si>
    <t>1000 մասնակցից ավելի հրապարակային միջոցառումների քանակ</t>
  </si>
  <si>
    <t>1000 մասնակցից ավելի հրապարակային միջոցառման միջին արժեք</t>
  </si>
  <si>
    <t>Միջոցառում</t>
  </si>
  <si>
    <t>Դիզայներական աշխատանք</t>
  </si>
  <si>
    <t>Տպագրություն</t>
  </si>
  <si>
    <t>մեծ նախագիծ</t>
  </si>
  <si>
    <t>փոքր նախագիծ</t>
  </si>
  <si>
    <t>Տպագրություն, բարձրորակ</t>
  </si>
  <si>
    <t>Տպագրություն, սովորական</t>
  </si>
  <si>
    <t>Տպագրություն, էջի արժեք</t>
  </si>
  <si>
    <t>Տպագրություն, էջերի քանակ</t>
  </si>
  <si>
    <t xml:space="preserve">Պետական պաշտոններ և պետական ծառայության պաշտոններ զբաղեցնող անձանց  վարձատրության համակարգի բարելավում </t>
  </si>
  <si>
    <t>Հանրային նշանակության կազմակերպությունների իրավական կարգավիճակի հստակեցում և դրանցում կոռուպցիոն ռիսկերի նվազեցման գործիքակազմի ներդրում՝ այդ թվում  առկա կոռուպցիոն ռիսկերի վերհանում և դրանց հաղթահարման մեխանիզմների ներդրում</t>
  </si>
  <si>
    <t>Մոտ 50-100 մասնակցով որոշակի ներկայացուցչական բնույթ կրող հանրային միջոցառման միջին արժեք</t>
  </si>
  <si>
    <t>Մոտ 50-100 մասնակցով որոշակի ներկայացուցչական բնույթ կրող հանրային միջոցառումների քանակ</t>
  </si>
  <si>
    <t>Հոլովակի ստեղծում</t>
  </si>
  <si>
    <t>Հոլովակի տարածում, գովազգի տեղադրման քանակ</t>
  </si>
  <si>
    <t>Հոլովակի տարածում, գովազդի տեղադրման միավորի արժեք</t>
  </si>
  <si>
    <t>տեղադրում</t>
  </si>
  <si>
    <t>Գործարար ոլորտում հակակոռուպցիոն համապատասխանության պահանջների ընդունման խթանում</t>
  </si>
  <si>
    <t>Ներգրավված միջազգային փորձագետ</t>
  </si>
  <si>
    <t>Միջազգային փորձագետի այցի ծախսեր</t>
  </si>
  <si>
    <t>Ներգրավված միջազգային փորձագետների վարձատրություն</t>
  </si>
  <si>
    <t>Միջազգային փորձագետների ընդունում</t>
  </si>
  <si>
    <t>Միջազգային փորձագետների միջին ներգրավման ծավալ</t>
  </si>
  <si>
    <t>Միջազգային փորձագետների ընդունում և այլ ներկայացուցչական ծախսեր</t>
  </si>
  <si>
    <t>Հանրային իրազեկման տարեկան արշավի ծրագրի մշակում, հաստատում և իրականացում</t>
  </si>
  <si>
    <t>Հանրային իրազեկման տպագիր նյութեր</t>
  </si>
  <si>
    <t>Առաջխաղացում սոց. ցանցերով և ԶԼՄ-ներով</t>
  </si>
  <si>
    <t>Սոց. ցանցեր</t>
  </si>
  <si>
    <t>ԶԼՄ</t>
  </si>
  <si>
    <t>Գովազդի ընդհանուր տևողություն</t>
  </si>
  <si>
    <t>րոպե</t>
  </si>
  <si>
    <t>1 րոպեի միջին արժեք</t>
  </si>
  <si>
    <t>Արտաքին գովազդ, գովազդի այլ եղանակներ</t>
  </si>
  <si>
    <t>Արտաքին գովազդ</t>
  </si>
  <si>
    <t>ամիս, միջոց</t>
  </si>
  <si>
    <t>Գովազդի տեղադրում հեռոստատեսությամբ</t>
  </si>
  <si>
    <t>Գովազդի տեղադրում ռադիոյով</t>
  </si>
  <si>
    <t>Տեսահոլովակների ստեղծում</t>
  </si>
  <si>
    <t>Ձայնագրում և մոնտաժ</t>
  </si>
  <si>
    <t>նախագիծ</t>
  </si>
  <si>
    <t>Ձայնային հոլովակներ</t>
  </si>
  <si>
    <t>Տեսաֆիլմի նկարահանում</t>
  </si>
  <si>
    <t>Գովազդ հեռուստատեսությամբ</t>
  </si>
  <si>
    <t>Գովազդ ռադիոյով</t>
  </si>
  <si>
    <t>Արտաքին գովազդի արժեք</t>
  </si>
  <si>
    <t>Արտաքին գովազդի միջոցներ</t>
  </si>
  <si>
    <t>Ամիսներ</t>
  </si>
  <si>
    <t>Իրազեկման արշավ</t>
  </si>
  <si>
    <t>Դիզայներական ծառայություններ, մոնտաժ, խմբագրում</t>
  </si>
  <si>
    <t>Դիզայներական աշխատանք, խմբագրում</t>
  </si>
  <si>
    <t>Կոռուպցիայի կանխարգելման հանձնաժողովի ձևավորում և բնականոն գործունեության ապահովում</t>
  </si>
  <si>
    <t>Ապօրինի ծագում ունեցող  գույքի վերաբերյալ ուսումնասիրության իրականացման վարչություն</t>
  </si>
  <si>
    <t>Մյուս ստորաբաժանումներ</t>
  </si>
  <si>
    <t>Կոռուպցիայի կանխարգելման հանձնաժողովի նախագահ</t>
  </si>
  <si>
    <t>Ղեկավար անձնակազմի աշխատավարձ</t>
  </si>
  <si>
    <t>Կոռուպցիայի կանխարգելման հանձնաժողովի անդամների քանակ</t>
  </si>
  <si>
    <t>Կոռուպցիայի կանխարգելման հանձնաժողովի անդամի ամսական համախառն աշխատավարձ</t>
  </si>
  <si>
    <t>Դրույքաչափի հաշվարկման գործակից</t>
  </si>
  <si>
    <t>Օժանդակ անձնակազմի և օգնականների աշխատավարձ</t>
  </si>
  <si>
    <t>Օգնականների ընդհանուր քանակ</t>
  </si>
  <si>
    <t>Օգնականի միջին ամսական համախառն աշխատավարձ</t>
  </si>
  <si>
    <t>Փորձագետների աշխատավարձ</t>
  </si>
  <si>
    <t>Անձնակազմի աշխատավարձ</t>
  </si>
  <si>
    <t>Համալրման աստիճան</t>
  </si>
  <si>
    <t>Օդափոխության համակարգ</t>
  </si>
  <si>
    <t>Անվտանգության համակարգ</t>
  </si>
  <si>
    <t>Կոմունալ վճարներ, կապ և տարածքի պահպանման ծախսեր</t>
  </si>
  <si>
    <t>Շինության տարածք</t>
  </si>
  <si>
    <t>Մեքենաների քանակ</t>
  </si>
  <si>
    <t>2000 լ. վառելիք, յուղ, սպասարկում և այլն</t>
  </si>
  <si>
    <t>Գրասենյակային և տրանսպորտային ծախսեր</t>
  </si>
  <si>
    <t>1 մեքենայի տարեկան ծախսեր</t>
  </si>
  <si>
    <t>Աշխատողների առավելագույն ընդհանուր քանակ</t>
  </si>
  <si>
    <t>Կոմունալ վճարներ, կապ, և տարածքի պահպանման ծախսեր</t>
  </si>
  <si>
    <t xml:space="preserve">Քաղաքացիների դիմումների, բողոքների, հարցումների թեժ գծի միասնական հարթակի ներդրում </t>
  </si>
  <si>
    <t>*Տվյալները տրամադրված են «Վի Իքս Սոֆթ» լիմիտեդ ընկերության կողմից http://www.vxsoft.com/am</t>
  </si>
  <si>
    <t>Գործողության համար</t>
  </si>
  <si>
    <t>Գործողություն</t>
  </si>
  <si>
    <t>Նախագծի ընդանուր արժեք</t>
  </si>
  <si>
    <t>Արժույթ</t>
  </si>
  <si>
    <t>Համարժեքը ՀՀ դրամով</t>
  </si>
  <si>
    <t>USD</t>
  </si>
  <si>
    <t>EUR</t>
  </si>
  <si>
    <t>Իրավական ակտերի նախագծերի մշակման գործընթացին  հասարակության մասնակցայնության ապահովման արդյունավետության բարձրացում</t>
  </si>
  <si>
    <t>Պետական և տեղական ինքնակառավարման մարմինների կողմից քաղաքացիներին առավել շատ մատուցվող ծառայությունների վերաբերյալ մատչելի տեղեկատվություն ստանալու գործիքակազմի ներդրում՝ այդ թվում դիմումների լրացման օրինակելի ձևերի մշակում</t>
  </si>
  <si>
    <t>Միասնական օպերատորների sso.am էլեկտրոնային համակարգի արդիականացում և նշված համակարգի հենքի վրա Mygov.am էլեկտրոնային հարթակի ներդրում</t>
  </si>
  <si>
    <t>Պետական մարմինների էլեկտրոնային բազաներին քրեական հետապնդման մարմինների հասանելիության ապահովում էլեկտրոնային հարցման եղանակով</t>
  </si>
  <si>
    <t>Բանկային հաշիվների կենտրոնացված ռեեստրի ստեղծում</t>
  </si>
  <si>
    <t>Բանկային հաշիվների կենտրոնացված ռեեստրի ստեղծում**</t>
  </si>
  <si>
    <t>**Գնահատվել է ՀՀ ԿԲ կողմից</t>
  </si>
  <si>
    <t>Արտապատվիրակված էլեկտրանային ռեսուրսների ստեղծման կամ արդիականացման նախագծեր</t>
  </si>
  <si>
    <t>Արտապատվիրակված էլեկտրանային ռեսուրսների ստեղծման կամ արդիականացման նախագծերի արժեքների ցանկ*</t>
  </si>
  <si>
    <t>Ընդհանուր նախագծի ամիսների քանակ</t>
  </si>
  <si>
    <t>Նախագծի ընդհանուր արժեք</t>
  </si>
  <si>
    <t>Բաշխում ըստ տարիների</t>
  </si>
  <si>
    <t>Ընդամենը արտապատվիրակված էլեկտրանային ռեսուրսների ստեղծման կամ արդիականացման նախագծեր</t>
  </si>
  <si>
    <t>Միջին տեղում կազմակերպվող տիպային դասընթաց</t>
  </si>
  <si>
    <t>Արտապատվիրակված դասընթաց*</t>
  </si>
  <si>
    <t>*Տվյալները ՀՀ Արդարադատության ակադեմիայում կազմակերպվող դասընթացնրի հիման վրա</t>
  </si>
  <si>
    <t>Գրենական պիտույքներ</t>
  </si>
  <si>
    <t>Դրույքաչափեր</t>
  </si>
  <si>
    <t>Արտապատվիրակված դասընթացի արժեք</t>
  </si>
  <si>
    <t>2 դասընթաց</t>
  </si>
  <si>
    <t>Ավագ դպրոցում հակակոռուպցիոն կրթության իրականացում</t>
  </si>
  <si>
    <t>Դասընթաց 1</t>
  </si>
  <si>
    <t>Դասընթաց 2</t>
  </si>
  <si>
    <t>Քաղաքացիական ծառայողների համար հեռավար ուսուցման մոդուլների մշակում</t>
  </si>
  <si>
    <t>Գրասենյակային ծախսեր</t>
  </si>
  <si>
    <t>Հեռավար ուսուցման կիրառման շնորհիվ խնայողություն</t>
  </si>
  <si>
    <t>Կոռուպցիայի, հանրային վստահության մակարդակի և հակակոռուպցիոն միջոցառումների ազդեցության վերաբերյալ պարբերական հարցումների իրականացում հասարակության շրջանում, հարցումների արդյունքների հրապարակում</t>
  </si>
  <si>
    <t>Տվյալների բազա, առցանց հարցման ծրագրեր</t>
  </si>
  <si>
    <t>Քննիչների քանակ</t>
  </si>
  <si>
    <t>Քննիչի միջին ամսական համախառն աշխատավարձ</t>
  </si>
  <si>
    <t>Օպերատիվ-հետախուզական գործունեություն իրականացնողների ընդհանուր քանակ</t>
  </si>
  <si>
    <t>Քննիչներ</t>
  </si>
  <si>
    <t>Օպերատիվ-հետախուզական գործունեություն իրականացնողներ</t>
  </si>
  <si>
    <t>Օպերատիվ-հետախուզական գործունեություն իրականացնողների միջին ամսական համախառն աշխատավարձ</t>
  </si>
  <si>
    <t>Գլխավոր մասնագետների ընդհանուր քանակ</t>
  </si>
  <si>
    <t>Տեղեկատվական տեխնոլոգիաների վարչություն</t>
  </si>
  <si>
    <t>Այլ մասնագետներ</t>
  </si>
  <si>
    <t>Հակակոռուպցիոն կոմիտեի պետ</t>
  </si>
  <si>
    <t>Հակակոռուպցիոն կոմիտեի պետի տեղակալների քանակ</t>
  </si>
  <si>
    <t>Հակակոռուպցիոն կոմիտեի պետի տեղակալի ամսական համախառն աշխատավարձ</t>
  </si>
  <si>
    <t>Տարածքային ստորաբաժանումների քանակ</t>
  </si>
  <si>
    <t>Տարածքային ստորաբաժանման քննիչների քանակ</t>
  </si>
  <si>
    <t>Տարածքային ստորաբաժանման օպերատիվ-հետախուզողների քանակ</t>
  </si>
  <si>
    <t>Օգնականներ</t>
  </si>
  <si>
    <t>Օժանդակ անձնակազմ</t>
  </si>
  <si>
    <t>Տարածքային ստորաբաժանումների աշխատավարձ</t>
  </si>
  <si>
    <t>Տարածքային ստորաբաժանման պետի աշխատավարձի դրույքաչափի հաշվարկման գործակից</t>
  </si>
  <si>
    <t>Տարածքային ստորաբաժանումների գործելու ամիսներ</t>
  </si>
  <si>
    <t xml:space="preserve">Գործողության անվանում </t>
  </si>
  <si>
    <t>Գործողության ֆինանսավորման կարիք ըստ տարիների</t>
  </si>
  <si>
    <t>Հազար ՀՀ դրամ</t>
  </si>
  <si>
    <t>Իրավաբանական անձանց իրական սեփականատերերի ինստիտուտի ներդրում</t>
  </si>
  <si>
    <t>Արտապատվիրակված դասընթացի արժեք երկար</t>
  </si>
  <si>
    <t>Արտապատվիրակված դասընթացի արժեք կարճ</t>
  </si>
  <si>
    <t>Ընդհանուր պահանջվող տարածք</t>
  </si>
  <si>
    <t>Շենքի աշխատանքային պայմանների ապահովում համակարգեր</t>
  </si>
  <si>
    <t>Կապի միացում</t>
  </si>
  <si>
    <t>Կոմունալ համակարգեր</t>
  </si>
  <si>
    <t>Այլ համակարգեր</t>
  </si>
  <si>
    <t>Տրանսպորտային միջոցների ձեռքբերում</t>
  </si>
  <si>
    <t>Միավորի միջին կանխատեսվող գին 1</t>
  </si>
  <si>
    <t>Միավորի միջին կանխատեսվող գին 2</t>
  </si>
  <si>
    <t>Միջին կանխատեսվող քանակ 1</t>
  </si>
  <si>
    <t>Միջին կանխատեսվող քանակ 2</t>
  </si>
  <si>
    <t>Տրանսպորտային միջոցներ</t>
  </si>
  <si>
    <t>Հակակոռուպցիոն մասնագիտացված դատարանների ստեղծում</t>
  </si>
  <si>
    <t>Դատավորներ</t>
  </si>
  <si>
    <t>Նոր դատավորների քանակ</t>
  </si>
  <si>
    <t>Դատավորի միջին ամսական համախառն աշխատավարձ</t>
  </si>
  <si>
    <t>Գործող դատավորի միջին ամսական համախառն աշխատավարձի ավելացում</t>
  </si>
  <si>
    <t>Դրույքաչափի հաշվարկման նախկին գործակից</t>
  </si>
  <si>
    <t>Դրույքաչափի հաշվարկման նոր գործակից</t>
  </si>
  <si>
    <t>Նիստերի քարտուղարներ</t>
  </si>
  <si>
    <t>Ընդհանուր քանակ</t>
  </si>
  <si>
    <t>Գործավարներ</t>
  </si>
  <si>
    <t>Գործող դատավորներից տեղափոխված քանակ</t>
  </si>
  <si>
    <t>Հակակոռուպցիոն դատարանի նախագահ</t>
  </si>
  <si>
    <t>Այլ աշխատակազմ</t>
  </si>
  <si>
    <t>Այլ մասնագետների ընդհանուր քանակ</t>
  </si>
  <si>
    <t>Դատավորի վերապատրաստում</t>
  </si>
  <si>
    <t>20-1</t>
  </si>
  <si>
    <t>Նվերների ռեեստրի ստեղծում</t>
  </si>
  <si>
    <t>Հանրային պաշտոն զբաղեցնող անձանց և հանրային ծառայողների պաշտոնական պարտականությունների իրականացման հետ կապված նվերների ինստիտուտի կատարելագործում, նվերների ռեեստրի ստեղծում</t>
  </si>
  <si>
    <t>Ռիսկերի գնահատումների արդյունքների հիման վրա պետական մարմիններում հակակոռուպցիոն, այդ թվում՝ ներքին բարեվարքության գործողությունների ծրագրերի մշակում և իրականացում</t>
  </si>
  <si>
    <t>Արտապատվիրակված դասընթաց բուհում</t>
  </si>
  <si>
    <t>Դասախոսի հոնորար</t>
  </si>
  <si>
    <t>Լսարանային ժամի գործակից 1</t>
  </si>
  <si>
    <t>Լսարանային ժամի գործակից 2</t>
  </si>
  <si>
    <t>Ինտերակտիվ դասընթացի համար</t>
  </si>
  <si>
    <t>Դասախոսության համար</t>
  </si>
  <si>
    <t>Ժամերի քանակ</t>
  </si>
  <si>
    <t>Ընդամենը արժեք</t>
  </si>
  <si>
    <t>Արժեք ԱԱՀ-ով</t>
  </si>
  <si>
    <t>1 ամիս տևողությամբ դասընթաց</t>
  </si>
  <si>
    <t>ՀՀ Գլխավոր դատախազությունում կոռուպցիոն հանցագործությունների քննության նկատմամբ վերահսկողություն իրականացնող վարչության ստեղծում</t>
  </si>
  <si>
    <t>Մոտ 100-200 մասնակցով սովորական հանրային միջոցառման միջին արժեք</t>
  </si>
  <si>
    <t>1000 մասնակցից ավելի բաց հրապարակային միջոցառման միջին արժեք</t>
  </si>
  <si>
    <t>Մանրամասները առանձին էջում</t>
  </si>
  <si>
    <t>ՏՏ տիրույթի նախագծեր</t>
  </si>
  <si>
    <t>Գույքի, եկամուտների և շահերի հայտարարագրման համակարգի կատարելագործում***</t>
  </si>
  <si>
    <t>Մոտ 100-200 մասնակցով սովորական հանրային միջոցառումների քանակ</t>
  </si>
  <si>
    <t>Թափուր պաշտոնների համալրման մրցույթների թեստավորման փուլի օնլայն հեռարձակում</t>
  </si>
  <si>
    <t>ՀԱԿԱԿՈՌՈՒՊՑԻՈՆ ԻՆՍՏԻՏՈՒՑԻՈՆԱԼ ՀԱՄԱԿԱՐԳԻ ԶԱՐԳԱՑՈՒՄ</t>
  </si>
  <si>
    <t>ԿՈՌՈՒՊՑԻԱՅԻ ԿԱՆԽԱՐԳԵԼՈՒՄ</t>
  </si>
  <si>
    <t>ԿՈՌՈՒՊՑԻՈՆ ԳՈՐԾԵՐԻ ՔՆՆՈՒԹՅՈՒՆ</t>
  </si>
  <si>
    <t>ՄՈՆԻԹՈՐԻՆԳԻ ՀԱՄԱԿԱՐԳ</t>
  </si>
  <si>
    <t>ԸՆԴԱՄԵՆԸ ՀԱԿԱԿՈՌՈՒՊՑԻՈՆ ԻՆՍՏԻՏՈՒՑԻՈՆԱԼ ՀԱՄԱԿԱՐԳԻ ԶԱՐԳԱՑՈՒՄ</t>
  </si>
  <si>
    <t>ԸՆԴԱՄԵՆԸ ԿՈՌՈՒՊՑԻԱՅԻ ԿԱՆԽԱՐԳԵԼՈՒՄ</t>
  </si>
  <si>
    <t>ԸՆԴԱՄԵՆԸ ԿՈՌՈՒՊՑԻՈՆ ԳՈՐԾԵՐԻ ՔՆՆՈՒԹՅՈՒՆ</t>
  </si>
  <si>
    <t>ԸՆԴԱՄԵՆԸ ՀԱՆՐԱՅԻՆ ԻՐԱԶԵԿՈՒՄ ԵՎ  ՀԱԿԱԿՈՌՈՒՊՑԻՈՆ ԿՐԹՈՒԹՅՈՒՆ</t>
  </si>
  <si>
    <t>ԸՆԴԱՄԵՆԸ ՄՈՆԻԹՈՐԻՆԳԻ ՀԱՄԱԿԱՐԳ</t>
  </si>
  <si>
    <t>ԸՆԴԱՄԵՆԸ ՖԻՆԱՆՍԱՎՈՐՄԱՆ ԿԱՐԻՔՆԵՐԻ ԳՆԱՀԱՏՈՒՄ</t>
  </si>
  <si>
    <t>Քաղաքացիների դիմումների, բողոքների, հարցումների թեժ գծի միասնական հարթակի ներդրում*</t>
  </si>
  <si>
    <t>Իրավական ակտերի նախագծերի մշակման գործընթացին  հասարակության մասնակցայնության ապահովման արդյունավետության բարձրացում*</t>
  </si>
  <si>
    <t>Պետական և տեղական ինքնակառավարման մարմինների կողմից քաղաքացիներին առավել շատ մատուցվող ծառայությունների վերաբերյալ մատչելի տեղեկատվություն ստանալու գործիքակազմի ներդրում՝ այդ թվում դիմումների լրացման օրինակելի ձևերի մշակում*</t>
  </si>
  <si>
    <t>Միասնական օպերատորների sso.am էլեկտրոնային համակարգի արդիականացում և նշված համակարգի հենքի վրա Mygov.am էլեկտրոնային հարթակի ներդրում*</t>
  </si>
  <si>
    <t>Տեղեկատվության  ազատության մասին ՀՀ օրենքի շրջանակներում պահանջվող տեղեկատվության պրոակտիվ հրապարակման միասնական հարթակի ստեղծում*</t>
  </si>
  <si>
    <t>Պետական մարմինների էլեկտրոնային բազաներին քրեական հետապնդման մարմինների հասանելիության ապահովում էլեկտրոնային հարցման եղանակով*</t>
  </si>
  <si>
    <t>Իրական սեփականատերերի գրանցամատյանի էլեկտրոնային ծրագրային ապահովում***</t>
  </si>
  <si>
    <t>Դասընթացի միջին տիպային ծախսերի հաշվարկ, դրույքաչափեր և սակագներ</t>
  </si>
  <si>
    <t>Չափման միավոր</t>
  </si>
  <si>
    <t>Գումար</t>
  </si>
  <si>
    <t>Նշում</t>
  </si>
  <si>
    <t>Ավտոմեքենա 3, միկրոավտոբուս</t>
  </si>
  <si>
    <t>Ավտոմեքենա 2, ամենագնաց կամ պիկապ</t>
  </si>
  <si>
    <t>Ավտոմեքենա 1, սեդան</t>
  </si>
  <si>
    <t>Վարչության պետ</t>
  </si>
  <si>
    <t>Դատախազներ</t>
  </si>
  <si>
    <t>Ավագ դատախազների քանակ</t>
  </si>
  <si>
    <t>Դատախազների քանակ</t>
  </si>
  <si>
    <t>Դատախազի վերապատրաստում</t>
  </si>
  <si>
    <t>Միավորի միջին կանխատեսվող գին 1, սեդան</t>
  </si>
  <si>
    <t>Միավորի միջին կանխատեսվող գին 2, ամենագնաց կամ պիկապ</t>
  </si>
  <si>
    <t>Միավորի միջին կանխատեսվող գին 3, միկրոավտոբուս</t>
  </si>
  <si>
    <t>Միջին կանխատեսվող քանակ 3</t>
  </si>
  <si>
    <t>Նիստերի քարտուղարներ, գործավարներ, օգնականներ</t>
  </si>
  <si>
    <t>1 մեքենայի տարեկան ծախսեր, տեսակ 1</t>
  </si>
  <si>
    <t>1 մեքենայի տարեկան ծախսեր, տեսակ 2</t>
  </si>
  <si>
    <t>1 մեքենայի տարեկան ծախսեր, տեսակ 3</t>
  </si>
  <si>
    <t>Հիմնակմախքի շինարարություն</t>
  </si>
  <si>
    <t>Ներքին հարդարում</t>
  </si>
  <si>
    <t>Կահավորում և պարագաներ</t>
  </si>
  <si>
    <t>Բարեկարգում/ցանկապատում/կոմունիկացիաներ</t>
  </si>
  <si>
    <t>Տեխնիկա, սարքավորումներ</t>
  </si>
  <si>
    <t>Համակարգչային տեխնիկա և սարքավորումներ</t>
  </si>
  <si>
    <t>ճարտարապետական նախագիծ և հեղինակային վերահսկողություն</t>
  </si>
  <si>
    <t>Տեղեկատվական համակարգեր/ ծրագրեր</t>
  </si>
  <si>
    <t>Կանխատեսվող ծախս</t>
  </si>
  <si>
    <t>Փորձաքննություն</t>
  </si>
  <si>
    <t>Անվտանգության համակարգեր, սերվերներ</t>
  </si>
  <si>
    <t>Այլ համակարգեր և աշխատանքներ</t>
  </si>
  <si>
    <t>Մասնագետների ընդհանուր քանակ</t>
  </si>
  <si>
    <t>Մասնագետների միջին ամսական համախառն աշխատավարձ</t>
  </si>
  <si>
    <t>Սինգապուր</t>
  </si>
  <si>
    <t>Տեղական գործուղում*</t>
  </si>
  <si>
    <t>Արտասահմանյան գործուղումներ*</t>
  </si>
  <si>
    <t>Իտալիա, Հռոմ</t>
  </si>
  <si>
    <t>Ուկրաինա</t>
  </si>
  <si>
    <t>Ուկրաինա, Կիև</t>
  </si>
  <si>
    <t>*Աղբյուր՝ 2335-Ն ՀՀ Կառավարության որոշում</t>
  </si>
  <si>
    <t>Ավիատոմս**</t>
  </si>
  <si>
    <t>**https://www.expedia.com</t>
  </si>
  <si>
    <t>***Տվյալները տրամադրվել են Արդարադատության նախարարության կողմից</t>
  </si>
  <si>
    <t>Փորձագետների աշխատանքի վարձատրություն/հոնորար</t>
  </si>
  <si>
    <t>սեդան մեքենա, 1 տարի</t>
  </si>
  <si>
    <t>Պետական պաշտոններում նշանակման ենթակա  անձանց, դատավորների և դատավորների թեկնածուների, դատախազների և դատախազների թեկնածուների, քննիչների բարեվարքության կանոնների պահպանման նկատմամբ հսկողության իրականացման կառուցակարգերի ձևավորում</t>
  </si>
  <si>
    <t>«Հանրային ծառայության մասին» օրենքին համապատասխան էթիկայի հանձնաժողովների ու բարեվարքության հարցերով կազմակերպիչների ինստիտուտի ձևավորում և գործարկում</t>
  </si>
  <si>
    <t>Հակակոռուպցիոն կարգավորման ազդեցության գնահատման համակարգի արդյունավետության բարձրացում</t>
  </si>
  <si>
    <t>Գույքի, եկամուտների և շահերի հայտարարագրման համակարգի կատարելագործում: Ծախսերի հայտարարագրման համակարգի ներդրում</t>
  </si>
  <si>
    <t>Լոբբիստական գործունեության  օրենսդրական կարգավորման սահմանում, կուսակցությունների, զանգվածային լրատվության միջոցների ֆինանսավորման թափանցիկության ապահովում</t>
  </si>
  <si>
    <t>Տեղեկատվության  ազատության մասին ՀՀ օրենքի շրջանակներում պահանջվող տեղեկատվության պրոակտիվ հրապարակման միասնական հարթակի ստեղծում</t>
  </si>
  <si>
    <t>Կոռուպցիոն առանձին հանցագործությունների, այդ թվում՝ ապօրինի հարստացման, քննության մեթոդիկայի մշակում, մշակված մեթոդիկայի հիման վրա  քրեական հետապնդման մարմինների վերապատրաստում</t>
  </si>
  <si>
    <t>«Հակակոռուպցիոն քաղաքականության հիմունքներ» առարկայի ներառում  բոլոր բարձրագույն ուսումնական հաստատությունների դասավանդման մոդուլներում</t>
  </si>
  <si>
    <t>Քաղաքացիական ծառայության համակարգում իրականացվող բարեփոխումների վերաբերյալ իրազեկվածության բարձրացում, վերապատրաստումների իրականացում՝ այդ թվում կոռուպցիայի կանխարգելման, բարեվարքության, «Մարդու իրավունքներ» թեմայով</t>
  </si>
  <si>
    <t>Կոռուպցիոն հանցագործությունների բացահայտման, քննության գործառույթներով օժտված և անկախության բավարար երաշխիքներ ունեցող հակակոռուպցիոն իրավապահ մարմնի` Հակակոռուպցիոն կոմիտեի ձևավորում</t>
  </si>
  <si>
    <t>Արտապատվիրակված էլեկտրոնային ռեսուրսների ստեղծման կամ արդիականացման նախագծեր</t>
  </si>
  <si>
    <t>Ընդամենը արտապատվիրակված էլեկտրոնային ռեսուրսների ստեղծման կամ արդիականացման նախագծեր</t>
  </si>
  <si>
    <t>ՀԱՆՐԱՅԻՆ ԻՐԱԶԵԿՈՒՄ ԵՎ ՀԱԿԱԿՈՌՈՒՊՑԻՈՆ ԿՐԹՈՒԹՅՈՒՆ</t>
  </si>
  <si>
    <t>էլեկտրոնային ռեսուրսների ստեղծում կամ արդիականացում</t>
  </si>
  <si>
    <t>Հակակոռուպցիոն ռազմավարության իրականացման 2019-2022 թվականների միջոցառումների ծրագրի ֆինանսական գնահատականը</t>
  </si>
  <si>
    <t xml:space="preserve">Հավելված 3
ՀՀ Կառավարության 
2019  թվականի 
հոկտեմբերի 3-ի
 N 1332-Ն որոշման
</t>
  </si>
  <si>
    <t xml:space="preserve">                                                                                                                                            Է. ԱՂԱՋԱՆՅԱՆ
</t>
  </si>
  <si>
    <t>ՀԱՅԱՍՏԱՆԻ  ՀԱՆՐԱՊԵՏՈՒԹՅԱՆ
  ՎԱՐՉԱՊԵՏԻ ԱՇԽԱՏԱԿԱԶՄԻ
                 ՂԵԿԱՎԱՐ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</si>
</sst>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yyyy"/>
    <numFmt numFmtId="166" formatCode="_-* #,##0.0_-;\-* #,##0.0_-;_-* &quot;-&quot;??_-;_-@_-"/>
    <numFmt numFmtId="167" formatCode="0.0000"/>
    <numFmt numFmtId="168" formatCode="0.0%"/>
    <numFmt numFmtId="169" formatCode="_-* #,##0.000_-;\-* #,##0.000_-;_-* &quot;-&quot;??_-;_-@_-"/>
    <numFmt numFmtId="170" formatCode="_-* #,##0.0_-;\-* #,##0.0_-;_-* &quot;-&quot;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b/>
      <sz val="9"/>
      <color theme="1"/>
      <name val="GHEA Grapalat"/>
      <family val="3"/>
    </font>
    <font>
      <i/>
      <sz val="9"/>
      <color theme="1"/>
      <name val="GHEA Grapalat"/>
      <family val="3"/>
    </font>
    <font>
      <sz val="9"/>
      <color rgb="FFFF0000"/>
      <name val="GHEA Grapalat"/>
      <family val="3"/>
    </font>
    <font>
      <b/>
      <sz val="9"/>
      <color rgb="FFFF0000"/>
      <name val="GHEA Grapalat"/>
      <family val="3"/>
    </font>
    <font>
      <i/>
      <sz val="9"/>
      <name val="GHEA Grapalat"/>
      <family val="3"/>
    </font>
    <font>
      <i/>
      <sz val="9"/>
      <color rgb="FFFF0000"/>
      <name val="GHEA Grapalat"/>
      <family val="3"/>
    </font>
    <font>
      <b/>
      <sz val="12"/>
      <color theme="1"/>
      <name val="GHEA Grapalat"/>
      <family val="3"/>
    </font>
    <font>
      <sz val="14"/>
      <color theme="1"/>
      <name val="GHEA Grapalat"/>
      <family val="3"/>
    </font>
    <font>
      <sz val="12"/>
      <color theme="1"/>
      <name val="GHEA Grapalat"/>
      <family val="3"/>
    </font>
    <font>
      <b/>
      <i/>
      <sz val="10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4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2"/>
      <color rgb="FFFF0000"/>
      <name val="GHEA Grapalat"/>
      <family val="3"/>
    </font>
    <font>
      <b/>
      <sz val="10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ck">
        <color rgb="FFF6BB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4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Fill="1" applyBorder="1" applyAlignment="1">
      <alignment horizontal="left" vertical="center" indent="2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166" fontId="2" fillId="0" borderId="0" xfId="1" applyNumberFormat="1" applyFont="1" applyBorder="1"/>
    <xf numFmtId="166" fontId="2" fillId="0" borderId="0" xfId="1" applyNumberFormat="1" applyFont="1"/>
    <xf numFmtId="0" fontId="6" fillId="0" borderId="0" xfId="0" applyFont="1" applyBorder="1" applyAlignment="1">
      <alignment horizontal="right"/>
    </xf>
    <xf numFmtId="0" fontId="2" fillId="0" borderId="0" xfId="0" applyFont="1" applyFill="1" applyBorder="1"/>
    <xf numFmtId="166" fontId="2" fillId="0" borderId="0" xfId="1" applyNumberFormat="1" applyFont="1" applyAlignment="1">
      <alignment horizontal="centerContinuous"/>
    </xf>
    <xf numFmtId="0" fontId="2" fillId="0" borderId="0" xfId="0" applyFont="1" applyFill="1"/>
    <xf numFmtId="0" fontId="5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Border="1"/>
    <xf numFmtId="0" fontId="2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Continuous"/>
    </xf>
    <xf numFmtId="165" fontId="2" fillId="0" borderId="0" xfId="0" applyNumberFormat="1" applyFont="1" applyAlignment="1">
      <alignment horizontal="centerContinuous"/>
    </xf>
    <xf numFmtId="0" fontId="5" fillId="0" borderId="0" xfId="0" applyFont="1" applyBorder="1" applyAlignment="1">
      <alignment horizontal="left" wrapText="1" indent="1"/>
    </xf>
    <xf numFmtId="0" fontId="5" fillId="3" borderId="0" xfId="0" applyFont="1" applyFill="1" applyBorder="1" applyAlignment="1">
      <alignment horizontal="left" wrapText="1" indent="1"/>
    </xf>
    <xf numFmtId="0" fontId="5" fillId="2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Fill="1" applyBorder="1" applyAlignment="1">
      <alignment horizontal="left" vertical="center" wrapText="1" indent="2"/>
    </xf>
    <xf numFmtId="166" fontId="7" fillId="0" borderId="0" xfId="1" applyNumberFormat="1" applyFont="1" applyAlignment="1">
      <alignment horizontal="centerContinuous"/>
    </xf>
    <xf numFmtId="166" fontId="7" fillId="0" borderId="0" xfId="1" applyNumberFormat="1" applyFont="1"/>
    <xf numFmtId="166" fontId="7" fillId="2" borderId="0" xfId="1" applyNumberFormat="1" applyFont="1" applyFill="1"/>
    <xf numFmtId="167" fontId="2" fillId="0" borderId="0" xfId="0" applyNumberFormat="1" applyFont="1"/>
    <xf numFmtId="166" fontId="5" fillId="0" borderId="0" xfId="1" applyNumberFormat="1" applyFont="1" applyBorder="1" applyAlignment="1">
      <alignment horizontal="left" indent="1"/>
    </xf>
    <xf numFmtId="168" fontId="2" fillId="0" borderId="0" xfId="2" applyNumberFormat="1" applyFont="1"/>
    <xf numFmtId="166" fontId="8" fillId="2" borderId="0" xfId="1" applyNumberFormat="1" applyFont="1" applyFill="1" applyBorder="1"/>
    <xf numFmtId="166" fontId="8" fillId="2" borderId="0" xfId="1" applyNumberFormat="1" applyFont="1" applyFill="1"/>
    <xf numFmtId="166" fontId="7" fillId="0" borderId="0" xfId="1" applyNumberFormat="1" applyFont="1" applyBorder="1"/>
    <xf numFmtId="9" fontId="7" fillId="0" borderId="0" xfId="2" applyFont="1" applyBorder="1"/>
    <xf numFmtId="9" fontId="7" fillId="0" borderId="0" xfId="2" applyFont="1"/>
    <xf numFmtId="166" fontId="7" fillId="0" borderId="0" xfId="1" applyNumberFormat="1" applyFont="1" applyFill="1" applyBorder="1"/>
    <xf numFmtId="0" fontId="7" fillId="0" borderId="0" xfId="0" applyFont="1"/>
    <xf numFmtId="166" fontId="2" fillId="0" borderId="0" xfId="0" applyNumberFormat="1" applyFont="1"/>
    <xf numFmtId="0" fontId="2" fillId="2" borderId="0" xfId="0" applyFont="1" applyFill="1"/>
    <xf numFmtId="9" fontId="4" fillId="0" borderId="0" xfId="2" applyFont="1"/>
    <xf numFmtId="166" fontId="4" fillId="0" borderId="0" xfId="1" applyNumberFormat="1" applyFont="1"/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9" fillId="0" borderId="0" xfId="0" applyFont="1" applyBorder="1" applyAlignment="1">
      <alignment horizontal="right" vertical="center" indent="2"/>
    </xf>
    <xf numFmtId="166" fontId="10" fillId="0" borderId="0" xfId="1" applyNumberFormat="1" applyFont="1" applyBorder="1"/>
    <xf numFmtId="166" fontId="10" fillId="0" borderId="0" xfId="1" applyNumberFormat="1" applyFont="1"/>
    <xf numFmtId="0" fontId="6" fillId="0" borderId="0" xfId="0" applyFont="1"/>
    <xf numFmtId="166" fontId="6" fillId="0" borderId="0" xfId="1" applyNumberFormat="1" applyFont="1" applyBorder="1"/>
    <xf numFmtId="166" fontId="4" fillId="0" borderId="0" xfId="1" applyNumberFormat="1" applyFont="1" applyBorder="1"/>
    <xf numFmtId="9" fontId="4" fillId="0" borderId="0" xfId="2" applyFont="1" applyBorder="1"/>
    <xf numFmtId="166" fontId="4" fillId="0" borderId="0" xfId="1" applyNumberFormat="1" applyFont="1" applyFill="1" applyBorder="1"/>
    <xf numFmtId="166" fontId="3" fillId="0" borderId="1" xfId="1" applyNumberFormat="1" applyFont="1" applyBorder="1"/>
    <xf numFmtId="0" fontId="5" fillId="3" borderId="1" xfId="0" applyFont="1" applyFill="1" applyBorder="1"/>
    <xf numFmtId="166" fontId="3" fillId="3" borderId="1" xfId="1" applyNumberFormat="1" applyFont="1" applyFill="1" applyBorder="1"/>
    <xf numFmtId="0" fontId="2" fillId="0" borderId="2" xfId="0" applyFont="1" applyBorder="1"/>
    <xf numFmtId="166" fontId="7" fillId="0" borderId="2" xfId="1" applyNumberFormat="1" applyFont="1" applyBorder="1"/>
    <xf numFmtId="166" fontId="4" fillId="0" borderId="2" xfId="1" applyNumberFormat="1" applyFont="1" applyBorder="1"/>
    <xf numFmtId="166" fontId="3" fillId="2" borderId="0" xfId="1" applyNumberFormat="1" applyFont="1" applyFill="1" applyBorder="1"/>
    <xf numFmtId="166" fontId="3" fillId="2" borderId="0" xfId="1" applyNumberFormat="1" applyFont="1" applyFill="1"/>
    <xf numFmtId="0" fontId="9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horizontal="right" indent="1"/>
    </xf>
    <xf numFmtId="165" fontId="6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right" vertical="center" indent="2"/>
    </xf>
    <xf numFmtId="0" fontId="6" fillId="0" borderId="0" xfId="0" applyFont="1" applyFill="1" applyBorder="1" applyAlignment="1">
      <alignment horizontal="right" vertical="center" wrapText="1" indent="2"/>
    </xf>
    <xf numFmtId="169" fontId="4" fillId="0" borderId="0" xfId="1" applyNumberFormat="1" applyFont="1" applyBorder="1"/>
    <xf numFmtId="0" fontId="4" fillId="0" borderId="0" xfId="0" applyFont="1" applyFill="1"/>
    <xf numFmtId="0" fontId="4" fillId="0" borderId="0" xfId="0" applyFont="1"/>
    <xf numFmtId="0" fontId="9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right"/>
    </xf>
    <xf numFmtId="169" fontId="7" fillId="0" borderId="0" xfId="1" applyNumberFormat="1" applyFont="1" applyBorder="1"/>
    <xf numFmtId="164" fontId="2" fillId="0" borderId="0" xfId="1" applyNumberFormat="1" applyFont="1" applyBorder="1"/>
    <xf numFmtId="164" fontId="4" fillId="0" borderId="0" xfId="1" applyNumberFormat="1" applyFont="1" applyBorder="1"/>
    <xf numFmtId="168" fontId="4" fillId="0" borderId="0" xfId="2" applyNumberFormat="1" applyFont="1" applyBorder="1"/>
    <xf numFmtId="168" fontId="7" fillId="0" borderId="0" xfId="2" applyNumberFormat="1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170" fontId="2" fillId="0" borderId="0" xfId="0" applyNumberFormat="1" applyFont="1"/>
    <xf numFmtId="0" fontId="5" fillId="3" borderId="0" xfId="0" applyFont="1" applyFill="1" applyAlignment="1">
      <alignment horizontal="center" vertical="top" wrapText="1"/>
    </xf>
    <xf numFmtId="166" fontId="5" fillId="3" borderId="0" xfId="1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166" fontId="2" fillId="0" borderId="0" xfId="0" applyNumberFormat="1" applyFont="1" applyFill="1" applyBorder="1"/>
    <xf numFmtId="166" fontId="9" fillId="0" borderId="0" xfId="1" applyNumberFormat="1" applyFont="1" applyBorder="1"/>
    <xf numFmtId="166" fontId="9" fillId="0" borderId="0" xfId="1" applyNumberFormat="1" applyFont="1"/>
    <xf numFmtId="0" fontId="3" fillId="2" borderId="0" xfId="0" applyFont="1" applyFill="1" applyBorder="1"/>
    <xf numFmtId="0" fontId="4" fillId="0" borderId="0" xfId="0" applyFont="1" applyBorder="1"/>
    <xf numFmtId="0" fontId="3" fillId="0" borderId="1" xfId="0" applyFont="1" applyBorder="1"/>
    <xf numFmtId="0" fontId="4" fillId="0" borderId="0" xfId="0" applyFont="1" applyFill="1" applyBorder="1" applyAlignment="1">
      <alignment horizontal="left" vertical="center" indent="2"/>
    </xf>
    <xf numFmtId="0" fontId="3" fillId="3" borderId="1" xfId="0" applyFont="1" applyFill="1" applyBorder="1"/>
    <xf numFmtId="0" fontId="4" fillId="0" borderId="2" xfId="0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Fill="1" applyBorder="1"/>
    <xf numFmtId="0" fontId="9" fillId="0" borderId="0" xfId="0" applyFont="1" applyBorder="1"/>
    <xf numFmtId="166" fontId="4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166" fontId="7" fillId="4" borderId="0" xfId="1" applyNumberFormat="1" applyFont="1" applyFill="1"/>
    <xf numFmtId="0" fontId="9" fillId="0" borderId="0" xfId="0" applyFont="1" applyFill="1" applyBorder="1" applyAlignment="1">
      <alignment horizontal="right"/>
    </xf>
    <xf numFmtId="0" fontId="7" fillId="0" borderId="0" xfId="0" applyFont="1" applyBorder="1"/>
    <xf numFmtId="164" fontId="2" fillId="0" borderId="0" xfId="0" applyNumberFormat="1" applyFont="1"/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0" fontId="10" fillId="0" borderId="0" xfId="0" applyFont="1" applyBorder="1"/>
    <xf numFmtId="0" fontId="4" fillId="0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1"/>
    </xf>
    <xf numFmtId="0" fontId="2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6" fontId="3" fillId="5" borderId="0" xfId="1" applyNumberFormat="1" applyFont="1" applyFill="1" applyBorder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166" fontId="2" fillId="0" borderId="8" xfId="1" applyNumberFormat="1" applyFont="1" applyBorder="1" applyAlignment="1">
      <alignment horizontal="left" indent="1"/>
    </xf>
    <xf numFmtId="166" fontId="2" fillId="0" borderId="9" xfId="1" applyNumberFormat="1" applyFont="1" applyBorder="1" applyAlignment="1">
      <alignment horizontal="left" indent="1"/>
    </xf>
    <xf numFmtId="166" fontId="2" fillId="0" borderId="0" xfId="1" applyNumberFormat="1" applyFont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6" fontId="11" fillId="3" borderId="5" xfId="1" applyNumberFormat="1" applyFont="1" applyFill="1" applyBorder="1" applyAlignment="1">
      <alignment horizontal="center" vertical="center" wrapText="1"/>
    </xf>
    <xf numFmtId="166" fontId="11" fillId="3" borderId="5" xfId="1" applyNumberFormat="1" applyFont="1" applyFill="1" applyBorder="1" applyAlignment="1">
      <alignment horizontal="centerContinuous" vertical="center" wrapText="1"/>
    </xf>
    <xf numFmtId="166" fontId="11" fillId="3" borderId="6" xfId="1" applyNumberFormat="1" applyFont="1" applyFill="1" applyBorder="1" applyAlignment="1">
      <alignment horizontal="centerContinuous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left" wrapText="1"/>
    </xf>
    <xf numFmtId="166" fontId="11" fillId="3" borderId="20" xfId="1" applyNumberFormat="1" applyFont="1" applyFill="1" applyBorder="1" applyAlignment="1">
      <alignment horizontal="center"/>
    </xf>
    <xf numFmtId="166" fontId="11" fillId="3" borderId="20" xfId="1" applyNumberFormat="1" applyFont="1" applyFill="1" applyBorder="1" applyAlignment="1">
      <alignment horizontal="left" indent="1"/>
    </xf>
    <xf numFmtId="166" fontId="11" fillId="3" borderId="21" xfId="1" applyNumberFormat="1" applyFont="1" applyFill="1" applyBorder="1" applyAlignment="1">
      <alignment horizontal="left" indent="1"/>
    </xf>
    <xf numFmtId="0" fontId="13" fillId="0" borderId="0" xfId="0" applyFont="1"/>
    <xf numFmtId="166" fontId="12" fillId="0" borderId="0" xfId="1" applyNumberFormat="1" applyFont="1" applyAlignment="1">
      <alignment horizontal="centerContinuous"/>
    </xf>
    <xf numFmtId="0" fontId="14" fillId="0" borderId="0" xfId="0" applyFont="1" applyBorder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0" borderId="3" xfId="0" applyFont="1" applyBorder="1"/>
    <xf numFmtId="0" fontId="2" fillId="0" borderId="3" xfId="0" applyFont="1" applyFill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/>
    <xf numFmtId="166" fontId="9" fillId="0" borderId="3" xfId="1" applyNumberFormat="1" applyFont="1" applyBorder="1"/>
    <xf numFmtId="166" fontId="2" fillId="0" borderId="3" xfId="1" applyNumberFormat="1" applyFont="1" applyBorder="1"/>
    <xf numFmtId="166" fontId="6" fillId="0" borderId="3" xfId="1" applyNumberFormat="1" applyFont="1" applyBorder="1"/>
    <xf numFmtId="164" fontId="2" fillId="0" borderId="3" xfId="0" applyNumberFormat="1" applyFont="1" applyBorder="1"/>
    <xf numFmtId="164" fontId="5" fillId="0" borderId="3" xfId="0" applyNumberFormat="1" applyFont="1" applyBorder="1"/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0" borderId="3" xfId="0" applyFont="1" applyBorder="1"/>
    <xf numFmtId="0" fontId="4" fillId="0" borderId="3" xfId="0" applyFont="1" applyBorder="1"/>
    <xf numFmtId="166" fontId="4" fillId="0" borderId="3" xfId="1" applyNumberFormat="1" applyFont="1" applyBorder="1"/>
    <xf numFmtId="9" fontId="4" fillId="0" borderId="3" xfId="2" applyFont="1" applyBorder="1"/>
    <xf numFmtId="0" fontId="2" fillId="0" borderId="2" xfId="0" applyFont="1" applyFill="1" applyBorder="1"/>
    <xf numFmtId="166" fontId="7" fillId="0" borderId="0" xfId="1" applyNumberFormat="1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5" fillId="6" borderId="0" xfId="0" applyFont="1" applyFill="1"/>
    <xf numFmtId="166" fontId="5" fillId="6" borderId="0" xfId="0" applyNumberFormat="1" applyFont="1" applyFill="1"/>
    <xf numFmtId="0" fontId="5" fillId="0" borderId="0" xfId="0" applyFont="1"/>
    <xf numFmtId="166" fontId="4" fillId="0" borderId="0" xfId="1" applyNumberFormat="1" applyFont="1" applyFill="1"/>
    <xf numFmtId="166" fontId="9" fillId="0" borderId="0" xfId="1" applyNumberFormat="1" applyFont="1" applyFill="1"/>
    <xf numFmtId="166" fontId="3" fillId="0" borderId="0" xfId="1" applyNumberFormat="1" applyFont="1" applyBorder="1" applyAlignment="1">
      <alignment horizontal="left" indent="1"/>
    </xf>
    <xf numFmtId="0" fontId="5" fillId="6" borderId="0" xfId="0" applyFont="1" applyFill="1" applyBorder="1" applyAlignment="1">
      <alignment horizontal="left" indent="1"/>
    </xf>
    <xf numFmtId="0" fontId="5" fillId="6" borderId="0" xfId="0" applyFont="1" applyFill="1" applyBorder="1" applyAlignment="1">
      <alignment horizontal="centerContinuous"/>
    </xf>
    <xf numFmtId="0" fontId="5" fillId="6" borderId="0" xfId="0" applyFont="1" applyFill="1" applyBorder="1" applyAlignment="1">
      <alignment horizontal="left" wrapText="1" indent="1"/>
    </xf>
    <xf numFmtId="166" fontId="5" fillId="5" borderId="0" xfId="1" applyNumberFormat="1" applyFont="1" applyFill="1" applyBorder="1" applyAlignment="1">
      <alignment horizontal="left" indent="1"/>
    </xf>
    <xf numFmtId="166" fontId="5" fillId="5" borderId="0" xfId="0" applyNumberFormat="1" applyFont="1" applyFill="1"/>
    <xf numFmtId="168" fontId="4" fillId="0" borderId="0" xfId="2" applyNumberFormat="1" applyFont="1"/>
    <xf numFmtId="166" fontId="4" fillId="2" borderId="0" xfId="1" applyNumberFormat="1" applyFont="1" applyFill="1"/>
    <xf numFmtId="164" fontId="4" fillId="0" borderId="0" xfId="1" applyNumberFormat="1" applyFont="1"/>
    <xf numFmtId="0" fontId="12" fillId="0" borderId="0" xfId="0" applyFont="1" applyAlignment="1">
      <alignment horizontal="centerContinuous" wrapText="1"/>
    </xf>
    <xf numFmtId="0" fontId="16" fillId="0" borderId="0" xfId="0" applyFont="1" applyBorder="1" applyAlignment="1">
      <alignment horizontal="centerContinuous" wrapText="1"/>
    </xf>
    <xf numFmtId="0" fontId="18" fillId="0" borderId="8" xfId="0" applyFont="1" applyBorder="1" applyAlignment="1">
      <alignment horizontal="left" wrapText="1"/>
    </xf>
    <xf numFmtId="0" fontId="18" fillId="2" borderId="8" xfId="0" applyFont="1" applyFill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7" xfId="0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7" xfId="0" applyFont="1" applyBorder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0" fontId="17" fillId="0" borderId="0" xfId="0" applyFont="1"/>
    <xf numFmtId="0" fontId="17" fillId="2" borderId="7" xfId="0" applyFont="1" applyFill="1" applyBorder="1" applyAlignment="1">
      <alignment horizontal="center"/>
    </xf>
    <xf numFmtId="166" fontId="17" fillId="2" borderId="8" xfId="1" applyNumberFormat="1" applyFont="1" applyFill="1" applyBorder="1" applyAlignment="1">
      <alignment horizontal="center"/>
    </xf>
    <xf numFmtId="166" fontId="17" fillId="2" borderId="8" xfId="1" applyNumberFormat="1" applyFont="1" applyFill="1" applyBorder="1"/>
    <xf numFmtId="166" fontId="17" fillId="2" borderId="9" xfId="1" applyNumberFormat="1" applyFont="1" applyFill="1" applyBorder="1"/>
    <xf numFmtId="166" fontId="17" fillId="0" borderId="8" xfId="1" applyNumberFormat="1" applyFont="1" applyBorder="1" applyAlignment="1">
      <alignment horizontal="center"/>
    </xf>
    <xf numFmtId="166" fontId="17" fillId="0" borderId="8" xfId="1" applyNumberFormat="1" applyFont="1" applyBorder="1" applyAlignment="1">
      <alignment horizontal="left" indent="1"/>
    </xf>
    <xf numFmtId="166" fontId="17" fillId="0" borderId="9" xfId="1" applyNumberFormat="1" applyFont="1" applyBorder="1" applyAlignment="1">
      <alignment horizontal="left" indent="1"/>
    </xf>
    <xf numFmtId="166" fontId="19" fillId="0" borderId="8" xfId="1" applyNumberFormat="1" applyFont="1" applyBorder="1" applyAlignment="1">
      <alignment horizontal="left" indent="1"/>
    </xf>
    <xf numFmtId="166" fontId="19" fillId="0" borderId="9" xfId="1" applyNumberFormat="1" applyFont="1" applyBorder="1" applyAlignment="1">
      <alignment horizontal="left" indent="1"/>
    </xf>
    <xf numFmtId="0" fontId="17" fillId="0" borderId="13" xfId="0" applyFont="1" applyBorder="1" applyAlignment="1">
      <alignment horizontal="center"/>
    </xf>
    <xf numFmtId="166" fontId="17" fillId="0" borderId="14" xfId="1" applyNumberFormat="1" applyFont="1" applyBorder="1" applyAlignment="1">
      <alignment horizontal="center"/>
    </xf>
    <xf numFmtId="166" fontId="17" fillId="0" borderId="14" xfId="1" applyNumberFormat="1" applyFont="1" applyBorder="1" applyAlignment="1">
      <alignment horizontal="left" indent="1"/>
    </xf>
    <xf numFmtId="166" fontId="17" fillId="0" borderId="15" xfId="1" applyNumberFormat="1" applyFont="1" applyBorder="1" applyAlignment="1">
      <alignment horizontal="left" indent="1"/>
    </xf>
    <xf numFmtId="0" fontId="18" fillId="0" borderId="19" xfId="0" applyFont="1" applyBorder="1" applyAlignment="1">
      <alignment horizontal="center"/>
    </xf>
    <xf numFmtId="166" fontId="18" fillId="0" borderId="20" xfId="1" applyNumberFormat="1" applyFont="1" applyBorder="1" applyAlignment="1">
      <alignment horizontal="center"/>
    </xf>
    <xf numFmtId="166" fontId="18" fillId="0" borderId="20" xfId="1" applyNumberFormat="1" applyFont="1" applyBorder="1" applyAlignment="1">
      <alignment horizontal="left" indent="1"/>
    </xf>
    <xf numFmtId="166" fontId="18" fillId="0" borderId="21" xfId="1" applyNumberFormat="1" applyFont="1" applyBorder="1" applyAlignment="1">
      <alignment horizontal="left" indent="1"/>
    </xf>
    <xf numFmtId="0" fontId="17" fillId="0" borderId="16" xfId="0" applyFont="1" applyBorder="1" applyAlignment="1">
      <alignment horizontal="center"/>
    </xf>
    <xf numFmtId="166" fontId="17" fillId="0" borderId="17" xfId="1" applyNumberFormat="1" applyFont="1" applyBorder="1" applyAlignment="1">
      <alignment horizontal="center"/>
    </xf>
    <xf numFmtId="166" fontId="17" fillId="0" borderId="17" xfId="1" applyNumberFormat="1" applyFont="1" applyBorder="1" applyAlignment="1">
      <alignment horizontal="left" indent="1"/>
    </xf>
    <xf numFmtId="166" fontId="17" fillId="0" borderId="18" xfId="1" applyNumberFormat="1" applyFont="1" applyBorder="1" applyAlignment="1">
      <alignment horizontal="left" indent="1"/>
    </xf>
    <xf numFmtId="49" fontId="17" fillId="0" borderId="7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6" fontId="17" fillId="0" borderId="11" xfId="1" applyNumberFormat="1" applyFont="1" applyBorder="1" applyAlignment="1">
      <alignment horizontal="center"/>
    </xf>
    <xf numFmtId="166" fontId="17" fillId="0" borderId="11" xfId="1" applyNumberFormat="1" applyFont="1" applyBorder="1" applyAlignment="1">
      <alignment horizontal="left" indent="1"/>
    </xf>
    <xf numFmtId="166" fontId="17" fillId="0" borderId="12" xfId="1" applyNumberFormat="1" applyFont="1" applyBorder="1" applyAlignment="1">
      <alignment horizontal="left" indent="1"/>
    </xf>
    <xf numFmtId="165" fontId="20" fillId="0" borderId="8" xfId="0" applyNumberFormat="1" applyFont="1" applyBorder="1" applyAlignment="1">
      <alignment horizontal="center"/>
    </xf>
    <xf numFmtId="165" fontId="20" fillId="0" borderId="9" xfId="0" applyNumberFormat="1" applyFont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Continuous"/>
    </xf>
    <xf numFmtId="166" fontId="21" fillId="0" borderId="22" xfId="1" applyNumberFormat="1" applyFont="1" applyFill="1" applyBorder="1" applyAlignment="1">
      <alignment horizontal="centerContinuous"/>
    </xf>
    <xf numFmtId="0" fontId="13" fillId="0" borderId="0" xfId="0" applyFont="1" applyBorder="1" applyAlignment="1">
      <alignment horizontal="centerContinuous" wrapText="1"/>
    </xf>
    <xf numFmtId="0" fontId="11" fillId="0" borderId="0" xfId="0" applyFont="1" applyBorder="1" applyAlignment="1">
      <alignment horizontal="centerContinuous" wrapText="1"/>
    </xf>
    <xf numFmtId="166" fontId="13" fillId="0" borderId="0" xfId="1" applyNumberFormat="1" applyFont="1" applyBorder="1" applyAlignment="1">
      <alignment horizontal="centerContinuous"/>
    </xf>
    <xf numFmtId="166" fontId="13" fillId="0" borderId="0" xfId="1" applyNumberFormat="1" applyFont="1" applyAlignment="1">
      <alignment horizontal="centerContinuous"/>
    </xf>
    <xf numFmtId="0" fontId="4" fillId="0" borderId="2" xfId="0" applyFont="1" applyBorder="1" applyAlignment="1">
      <alignment wrapText="1"/>
    </xf>
    <xf numFmtId="0" fontId="4" fillId="0" borderId="0" xfId="0" applyFont="1" applyFill="1" applyBorder="1" applyAlignment="1">
      <alignment horizontal="left"/>
    </xf>
    <xf numFmtId="166" fontId="22" fillId="0" borderId="0" xfId="1" applyNumberFormat="1" applyFont="1" applyAlignment="1">
      <alignment horizontal="centerContinuous" wrapText="1"/>
    </xf>
    <xf numFmtId="166" fontId="2" fillId="0" borderId="0" xfId="1" applyNumberFormat="1" applyFont="1" applyAlignment="1">
      <alignment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6BB00"/>
      <color rgb="FFD8A6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49" zoomScale="85" zoomScaleNormal="85" workbookViewId="0">
      <selection activeCell="B63" sqref="B63:B67"/>
    </sheetView>
  </sheetViews>
  <sheetFormatPr defaultRowHeight="13.5" x14ac:dyDescent="0.25"/>
  <cols>
    <col min="1" max="1" width="21.5703125" style="15" customWidth="1"/>
    <col min="2" max="2" width="95" style="80" customWidth="1"/>
    <col min="3" max="3" width="26.140625" style="127" customWidth="1"/>
    <col min="4" max="4" width="18" style="8" bestFit="1" customWidth="1"/>
    <col min="5" max="5" width="18.28515625" style="8" bestFit="1" customWidth="1"/>
    <col min="6" max="6" width="18.140625" style="8" bestFit="1" customWidth="1"/>
    <col min="7" max="7" width="18.42578125" style="8" bestFit="1" customWidth="1"/>
    <col min="8" max="16384" width="9.140625" style="6"/>
  </cols>
  <sheetData>
    <row r="1" spans="1:8" ht="115.5" x14ac:dyDescent="0.35">
      <c r="A1" s="182" t="s">
        <v>433</v>
      </c>
      <c r="B1" s="181"/>
      <c r="C1" s="141"/>
      <c r="D1" s="141"/>
      <c r="E1" s="141"/>
      <c r="F1" s="141"/>
      <c r="G1" s="233" t="s">
        <v>434</v>
      </c>
    </row>
    <row r="2" spans="1:8" ht="14.25" x14ac:dyDescent="0.25">
      <c r="D2" s="11"/>
      <c r="E2" s="11"/>
      <c r="F2" s="11"/>
      <c r="G2" s="142" t="s">
        <v>304</v>
      </c>
    </row>
    <row r="3" spans="1:8" x14ac:dyDescent="0.25">
      <c r="B3" s="107"/>
    </row>
    <row r="4" spans="1:8" s="134" customFormat="1" ht="45" customHeight="1" x14ac:dyDescent="0.25">
      <c r="A4" s="129" t="s">
        <v>247</v>
      </c>
      <c r="B4" s="130" t="s">
        <v>302</v>
      </c>
      <c r="C4" s="131" t="s">
        <v>160</v>
      </c>
      <c r="D4" s="132" t="s">
        <v>303</v>
      </c>
      <c r="E4" s="132"/>
      <c r="F4" s="132"/>
      <c r="G4" s="133"/>
    </row>
    <row r="5" spans="1:8" s="195" customFormat="1" ht="17.25" customHeight="1" x14ac:dyDescent="0.3">
      <c r="A5" s="192"/>
      <c r="B5" s="183"/>
      <c r="C5" s="193"/>
      <c r="D5" s="222">
        <f>start</f>
        <v>43466</v>
      </c>
      <c r="E5" s="222">
        <f>EOMONTH(D5,11)+1</f>
        <v>43831</v>
      </c>
      <c r="F5" s="222">
        <f>EOMONTH(E5,11)+1</f>
        <v>44197</v>
      </c>
      <c r="G5" s="223">
        <f>EOMONTH(F5,11)+1</f>
        <v>44562</v>
      </c>
      <c r="H5" s="194"/>
    </row>
    <row r="6" spans="1:8" s="195" customFormat="1" ht="16.5" x14ac:dyDescent="0.3">
      <c r="A6" s="196"/>
      <c r="B6" s="184" t="s">
        <v>356</v>
      </c>
      <c r="C6" s="197"/>
      <c r="D6" s="198"/>
      <c r="E6" s="198"/>
      <c r="F6" s="198"/>
      <c r="G6" s="199"/>
    </row>
    <row r="7" spans="1:8" s="195" customFormat="1" ht="33" x14ac:dyDescent="0.3">
      <c r="A7" s="192">
        <f>'1n'!A1</f>
        <v>1</v>
      </c>
      <c r="B7" s="185" t="str">
        <f>'1n'!B1</f>
        <v>Կոռուպցիայի կանխարգելման հանձնաժողովի ձևավորում և բնականոն գործունեության ապահովում</v>
      </c>
      <c r="C7" s="200">
        <f>SUM(D7:G7)</f>
        <v>3294181.460608732</v>
      </c>
      <c r="D7" s="201">
        <f>'1n'!E56</f>
        <v>304443.34263855004</v>
      </c>
      <c r="E7" s="201">
        <f>'1n'!F56</f>
        <v>414129.13680021669</v>
      </c>
      <c r="F7" s="201">
        <f>'1n'!G56</f>
        <v>1598160.8613760814</v>
      </c>
      <c r="G7" s="202">
        <f>'1n'!H56</f>
        <v>977448.11979388387</v>
      </c>
    </row>
    <row r="8" spans="1:8" s="195" customFormat="1" ht="49.5" x14ac:dyDescent="0.3">
      <c r="A8" s="192">
        <f>'2n'!A1</f>
        <v>2</v>
      </c>
      <c r="B8" s="185" t="str">
        <f>'2n'!B1</f>
        <v>Կոռուպցիոն հանցագործությունների բացահայտման, քննության գործառույթներով օժտված և անկախության բավարար երաշխիքներ ունեցող հակակոռուպցիոն իրավապահ մարմնի` Հակակոռուպցիոն կոմիտեի ձևավորում</v>
      </c>
      <c r="C8" s="200">
        <f t="shared" ref="C8:C50" si="0">SUM(D8:G8)</f>
        <v>3941737.5078900005</v>
      </c>
      <c r="D8" s="201">
        <f>'2n'!E60</f>
        <v>5324.4600000000009</v>
      </c>
      <c r="E8" s="201">
        <f>'2n'!F60</f>
        <v>5625.3470402166668</v>
      </c>
      <c r="F8" s="201">
        <f>'2n'!G60</f>
        <v>1871170.3246832611</v>
      </c>
      <c r="G8" s="202">
        <f>'2n'!H60</f>
        <v>2059617.3761665227</v>
      </c>
    </row>
    <row r="9" spans="1:8" s="195" customFormat="1" ht="16.5" x14ac:dyDescent="0.3">
      <c r="A9" s="192">
        <f>'3n'!A1</f>
        <v>3</v>
      </c>
      <c r="B9" s="185" t="str">
        <f>'3n'!B1</f>
        <v>Հակակոռուպցիոն մասնագիտացված դատարանների ստեղծում</v>
      </c>
      <c r="C9" s="200">
        <f t="shared" si="0"/>
        <v>4508697.3906688001</v>
      </c>
      <c r="D9" s="203">
        <f>'3n'!E58</f>
        <v>1934862.9618499998</v>
      </c>
      <c r="E9" s="203">
        <f>'3n'!F58</f>
        <v>835404.97112310003</v>
      </c>
      <c r="F9" s="203">
        <f>'3n'!G58</f>
        <v>466198.82864784996</v>
      </c>
      <c r="G9" s="204">
        <f>'3n'!H58</f>
        <v>1272230.6290478501</v>
      </c>
    </row>
    <row r="10" spans="1:8" s="195" customFormat="1" ht="33" x14ac:dyDescent="0.3">
      <c r="A10" s="192">
        <f>'4n'!A1</f>
        <v>4</v>
      </c>
      <c r="B10" s="185" t="str">
        <f>'4n'!B1</f>
        <v>ՀՀ Գլխավոր դատախազությունում կոռուպցիոն հանցագործությունների քննության նկատմամբ վերահսկողություն իրականացնող վարչության ստեղծում</v>
      </c>
      <c r="C10" s="200">
        <f t="shared" si="0"/>
        <v>33631.887224999999</v>
      </c>
      <c r="D10" s="203">
        <f>'4n'!E55</f>
        <v>5067.9618500000006</v>
      </c>
      <c r="E10" s="203">
        <f>'4n'!F55</f>
        <v>276.525375</v>
      </c>
      <c r="F10" s="203">
        <f>'4n'!G55</f>
        <v>21233.05</v>
      </c>
      <c r="G10" s="204">
        <f>'4n'!H55</f>
        <v>7054.35</v>
      </c>
    </row>
    <row r="11" spans="1:8" s="195" customFormat="1" ht="33" x14ac:dyDescent="0.3">
      <c r="A11" s="205">
        <f>'5n'!A1</f>
        <v>5</v>
      </c>
      <c r="B11" s="186" t="str">
        <f>'5n'!B1</f>
        <v>Հակակոռուպցիոն քաղաքականության մշակման համար պատասխանատու մարմինների, հասարակական կազմակերպությունների կարողությունների զարգացում</v>
      </c>
      <c r="C11" s="206">
        <f t="shared" si="0"/>
        <v>32253.910763043583</v>
      </c>
      <c r="D11" s="207">
        <f>'5n'!E50</f>
        <v>0</v>
      </c>
      <c r="E11" s="207">
        <f>'5n'!F50</f>
        <v>12509.95670155</v>
      </c>
      <c r="F11" s="207">
        <f>'5n'!G50</f>
        <v>10753.647113525984</v>
      </c>
      <c r="G11" s="208">
        <f>'5n'!H50</f>
        <v>8990.3069479675996</v>
      </c>
    </row>
    <row r="12" spans="1:8" s="195" customFormat="1" ht="17.25" thickBot="1" x14ac:dyDescent="0.35">
      <c r="A12" s="209"/>
      <c r="B12" s="187" t="s">
        <v>360</v>
      </c>
      <c r="C12" s="210">
        <f>SUBTOTAL(9,C7:C11)</f>
        <v>11810502.157155577</v>
      </c>
      <c r="D12" s="211">
        <f>SUBTOTAL(9,D7:D11)</f>
        <v>2249698.72633855</v>
      </c>
      <c r="E12" s="211">
        <f>SUBTOTAL(9,E7:E11)</f>
        <v>1267945.9370400833</v>
      </c>
      <c r="F12" s="211">
        <f t="shared" ref="F12:G12" si="1">SUBTOTAL(9,F7:F11)</f>
        <v>3967516.7118207184</v>
      </c>
      <c r="G12" s="212">
        <f t="shared" si="1"/>
        <v>4325340.7819562247</v>
      </c>
    </row>
    <row r="13" spans="1:8" s="195" customFormat="1" ht="7.5" customHeight="1" x14ac:dyDescent="0.3">
      <c r="A13" s="213"/>
      <c r="B13" s="188"/>
      <c r="C13" s="214"/>
      <c r="D13" s="215"/>
      <c r="E13" s="215"/>
      <c r="F13" s="215"/>
      <c r="G13" s="216"/>
    </row>
    <row r="14" spans="1:8" s="195" customFormat="1" ht="16.5" x14ac:dyDescent="0.3">
      <c r="A14" s="196"/>
      <c r="B14" s="184" t="s">
        <v>357</v>
      </c>
      <c r="C14" s="197"/>
      <c r="D14" s="198"/>
      <c r="E14" s="198"/>
      <c r="F14" s="198"/>
      <c r="G14" s="199"/>
    </row>
    <row r="15" spans="1:8" s="195" customFormat="1" ht="33" x14ac:dyDescent="0.3">
      <c r="A15" s="192">
        <f>'7n'!A1</f>
        <v>7</v>
      </c>
      <c r="B15" s="185" t="str">
        <f>'7n'!B1</f>
        <v>15 000 և ավելի բնակչություն ունեցող տեղական ինքնակառավարման մարմիններում կոռուպցիոն ռիսկերի վերհանում, ծրագրերի մշակում և իրականացում</v>
      </c>
      <c r="C15" s="200">
        <f t="shared" si="0"/>
        <v>21167.913456622839</v>
      </c>
      <c r="D15" s="201">
        <f>'7n'!E50</f>
        <v>0</v>
      </c>
      <c r="E15" s="201">
        <f>'7n'!F50</f>
        <v>11319.57220855</v>
      </c>
      <c r="F15" s="201">
        <f>'7n'!G50</f>
        <v>6875.0635640076498</v>
      </c>
      <c r="G15" s="202">
        <f>'7n'!H50</f>
        <v>2973.2776840651895</v>
      </c>
    </row>
    <row r="16" spans="1:8" s="195" customFormat="1" ht="49.5" x14ac:dyDescent="0.3">
      <c r="A16" s="189">
        <f>'8n'!A1</f>
        <v>8</v>
      </c>
      <c r="B16" s="185" t="str">
        <f>'8n'!B1</f>
        <v>Ռիսկերի գնահատումների արդյունքների հիման վրա պետական մարմիններում հակակոռուպցիոն, այդ թվում՝ ներքին բարեվարքության գործողությունների ծրագրերի մշակում և իրականացում</v>
      </c>
      <c r="C16" s="200">
        <f t="shared" si="0"/>
        <v>28555.592879918368</v>
      </c>
      <c r="D16" s="201">
        <f>'8n'!E54</f>
        <v>0</v>
      </c>
      <c r="E16" s="201">
        <f>'8n'!F54</f>
        <v>15038.700180550002</v>
      </c>
      <c r="F16" s="201">
        <f>'8n'!G54</f>
        <v>9472.2147739266493</v>
      </c>
      <c r="G16" s="202">
        <f>'8n'!H54</f>
        <v>4044.6779254417147</v>
      </c>
    </row>
    <row r="17" spans="1:7" s="195" customFormat="1" ht="66" x14ac:dyDescent="0.3">
      <c r="A17" s="192">
        <f>'9n'!A1</f>
        <v>9</v>
      </c>
      <c r="B17" s="185" t="str">
        <f>'9n'!B1</f>
        <v>Պետական պաշտոններում նշանակման ենթակա  անձանց, դատավորների և դատավորների թեկնածուների, դատախազների և դատախազների թեկնածուների, քննիչների բարեվարքության կանոնների պահպանման նկատմամբ հսկողության իրականացման կառուցակարգերի ձևավորում</v>
      </c>
      <c r="C17" s="200">
        <f t="shared" si="0"/>
        <v>16745.918883916107</v>
      </c>
      <c r="D17" s="201">
        <f>'9n'!E50</f>
        <v>7687.8848500000004</v>
      </c>
      <c r="E17" s="201">
        <f>'9n'!F50</f>
        <v>4781.2393785499999</v>
      </c>
      <c r="F17" s="201">
        <f>'9n'!G50</f>
        <v>3468.3847855876497</v>
      </c>
      <c r="G17" s="202">
        <f>'9n'!H50</f>
        <v>808.40986977845387</v>
      </c>
    </row>
    <row r="18" spans="1:7" s="195" customFormat="1" ht="33" x14ac:dyDescent="0.3">
      <c r="A18" s="192">
        <f>'11n'!A1</f>
        <v>11</v>
      </c>
      <c r="B18" s="185" t="str">
        <f>'11n'!B1</f>
        <v>«Հանրային ծառայության մասին» օրենքին համապատասխան էթիկայի հանձնաժողովների ու բարեվարքության հարցերով կազմակերպիչների ինստիտուտի ձևավորում և գործարկում</v>
      </c>
      <c r="C18" s="200">
        <f t="shared" si="0"/>
        <v>5626.054053082833</v>
      </c>
      <c r="D18" s="201">
        <f>'11n'!E50</f>
        <v>0</v>
      </c>
      <c r="E18" s="201">
        <f>'11n'!F50</f>
        <v>1762.4257499999999</v>
      </c>
      <c r="F18" s="201">
        <f>'11n'!G50</f>
        <v>2640.8449484833336</v>
      </c>
      <c r="G18" s="202">
        <f>'11n'!H50</f>
        <v>1222.7833545994999</v>
      </c>
    </row>
    <row r="19" spans="1:7" s="195" customFormat="1" ht="33" x14ac:dyDescent="0.3">
      <c r="A19" s="192">
        <f>'12n'!A1</f>
        <v>12</v>
      </c>
      <c r="B19" s="185" t="str">
        <f>'12n'!B1</f>
        <v xml:space="preserve">Պետական պաշտոններ և պետական ծառայության պաշտոններ զբաղեցնող անձանց  վարձատրության համակարգի բարելավում </v>
      </c>
      <c r="C19" s="200">
        <f t="shared" si="0"/>
        <v>14439.76342855135</v>
      </c>
      <c r="D19" s="201">
        <f>'12n'!E50</f>
        <v>5000.9868500000011</v>
      </c>
      <c r="E19" s="201">
        <f>'12n'!F50</f>
        <v>5266.0292845499998</v>
      </c>
      <c r="F19" s="201">
        <f>'12n'!G50</f>
        <v>2067.9869280476501</v>
      </c>
      <c r="G19" s="202">
        <f>'12n'!H50</f>
        <v>2104.7603659536985</v>
      </c>
    </row>
    <row r="20" spans="1:7" s="195" customFormat="1" ht="33" x14ac:dyDescent="0.3">
      <c r="A20" s="192">
        <f>'16n'!A1</f>
        <v>16</v>
      </c>
      <c r="B20" s="185" t="str">
        <f>'16n'!B1</f>
        <v>Հակակոռուպցիոն կարգավորման ազդեցության գնահատման համակարգի արդյունավետության բարձրացում</v>
      </c>
      <c r="C20" s="200">
        <f t="shared" si="0"/>
        <v>653.15293574999998</v>
      </c>
      <c r="D20" s="201">
        <f>'16n'!E50</f>
        <v>0</v>
      </c>
      <c r="E20" s="201">
        <f>'16n'!F50</f>
        <v>460.87562500000001</v>
      </c>
      <c r="F20" s="201">
        <f>'16n'!G50</f>
        <v>192.27731074999997</v>
      </c>
      <c r="G20" s="202">
        <f>'16n'!H50</f>
        <v>0</v>
      </c>
    </row>
    <row r="21" spans="1:7" s="195" customFormat="1" ht="33" x14ac:dyDescent="0.3">
      <c r="A21" s="189">
        <f>'17n'!A1</f>
        <v>17</v>
      </c>
      <c r="B21" s="185" t="str">
        <f>'17n'!B1</f>
        <v>Գույքի, եկամուտների և շահերի հայտարարագրման համակարգի կատարելագործում: Ծախսերի հայտարարագրման համակարգի ներդրում</v>
      </c>
      <c r="C21" s="200">
        <f t="shared" si="0"/>
        <v>199042.80969221669</v>
      </c>
      <c r="D21" s="201">
        <f>'17n'!E54</f>
        <v>6287.6192366666673</v>
      </c>
      <c r="E21" s="201">
        <f>'17n'!F54</f>
        <v>70312.923788883345</v>
      </c>
      <c r="F21" s="201">
        <f>'17n'!G54</f>
        <v>81661.511111111118</v>
      </c>
      <c r="G21" s="202">
        <f>'17n'!H54</f>
        <v>40780.755555555559</v>
      </c>
    </row>
    <row r="22" spans="1:7" s="195" customFormat="1" ht="49.5" x14ac:dyDescent="0.3">
      <c r="A22" s="217">
        <f>'19n'!A1</f>
        <v>19</v>
      </c>
      <c r="B22" s="190" t="str">
        <f>'19n'!B1</f>
        <v>Հանրային պաշտոն զբաղեցնող անձանց և հանրային ծառայողների պաշտոնական պարտականությունների իրականացման հետ կապված նվերների ինստիտուտի կատարելագործում, նվերների ռեեստրի ստեղծում</v>
      </c>
      <c r="C22" s="200">
        <f t="shared" si="0"/>
        <v>29348.671209550001</v>
      </c>
      <c r="D22" s="201">
        <f>'19n'!E54</f>
        <v>4014.2970000000009</v>
      </c>
      <c r="E22" s="201">
        <f>'19n'!F54</f>
        <v>6017.1742095499994</v>
      </c>
      <c r="F22" s="201">
        <f>'19n'!G54</f>
        <v>11038.4</v>
      </c>
      <c r="G22" s="202">
        <f>'19n'!H54</f>
        <v>8278.7999999999993</v>
      </c>
    </row>
    <row r="23" spans="1:7" s="195" customFormat="1" ht="35.25" customHeight="1" x14ac:dyDescent="0.3">
      <c r="A23" s="192">
        <f>'20n'!A1</f>
        <v>20</v>
      </c>
      <c r="B23" s="185" t="str">
        <f>'20n'!B1</f>
        <v>Լոբբիստական գործունեության  օրենսդրական կարգավորման սահմանում, կուսակցությունների, զանգվածային լրատվության միջոցների ֆինանսավորման թափանցիկության ապահովում</v>
      </c>
      <c r="C23" s="200">
        <f t="shared" si="0"/>
        <v>19761.370416330246</v>
      </c>
      <c r="D23" s="201">
        <f>'20n'!E50</f>
        <v>5807.6192366666673</v>
      </c>
      <c r="E23" s="201">
        <f>'20n'!F50</f>
        <v>4898.7486845499998</v>
      </c>
      <c r="F23" s="201">
        <f>'20n'!G50</f>
        <v>4434.3135071529996</v>
      </c>
      <c r="G23" s="202">
        <f>'20n'!H50</f>
        <v>4620.6889879605787</v>
      </c>
    </row>
    <row r="24" spans="1:7" s="195" customFormat="1" ht="49.5" x14ac:dyDescent="0.3">
      <c r="A24" s="192">
        <f>'21n'!A1</f>
        <v>21</v>
      </c>
      <c r="B24" s="185" t="str">
        <f>'21n'!B1</f>
        <v>Հանրային նշանակության կազմակերպությունների իրավական կարգավիճակի հստակեցում և դրանցում կոռուպցիոն ռիսկերի նվազեցման գործիքակազմի ներդրում՝ այդ թվում  առկա կոռուպցիոն ռիսկերի վերհանում և դրանց հաղթահարման մեխանիզմների ներդրում</v>
      </c>
      <c r="C24" s="200">
        <f t="shared" si="0"/>
        <v>19761.370416330246</v>
      </c>
      <c r="D24" s="201">
        <f>'20n'!E50</f>
        <v>5807.6192366666673</v>
      </c>
      <c r="E24" s="201">
        <f>'20n'!F50</f>
        <v>4898.7486845499998</v>
      </c>
      <c r="F24" s="201">
        <f>'20n'!G50</f>
        <v>4434.3135071529996</v>
      </c>
      <c r="G24" s="202">
        <f>'20n'!H50</f>
        <v>4620.6889879605787</v>
      </c>
    </row>
    <row r="25" spans="1:7" s="195" customFormat="1" ht="33" x14ac:dyDescent="0.3">
      <c r="A25" s="192">
        <f>'22n'!A1</f>
        <v>22</v>
      </c>
      <c r="B25" s="185" t="str">
        <f>'22n'!B1</f>
        <v>Գործարար ոլորտում հակակոռուպցիոն համապատասխանության պահանջների ընդունման խթանում</v>
      </c>
      <c r="C25" s="200">
        <f t="shared" si="0"/>
        <v>28470.782511056153</v>
      </c>
      <c r="D25" s="201">
        <f>'22n'!E50</f>
        <v>7869.6770866666675</v>
      </c>
      <c r="E25" s="201">
        <f>'22n'!F50</f>
        <v>8821.4141949999994</v>
      </c>
      <c r="F25" s="201">
        <f>'22n'!G50</f>
        <v>6572.6714774299999</v>
      </c>
      <c r="G25" s="202">
        <f>'22n'!H50</f>
        <v>5207.0197519594894</v>
      </c>
    </row>
    <row r="26" spans="1:7" s="195" customFormat="1" ht="16.5" x14ac:dyDescent="0.3">
      <c r="A26" s="192">
        <f>'24n'!A1</f>
        <v>24</v>
      </c>
      <c r="B26" s="185" t="str">
        <f>'24n'!B1</f>
        <v>Իրավաբանական անձանց իրական սեփականատերերի ինստիտուտի ներդրում</v>
      </c>
      <c r="C26" s="200">
        <f t="shared" si="0"/>
        <v>44215.775860284346</v>
      </c>
      <c r="D26" s="201">
        <f>'24n'!E54</f>
        <v>0</v>
      </c>
      <c r="E26" s="201">
        <f>'24n'!F54</f>
        <v>29330.437298550001</v>
      </c>
      <c r="F26" s="201">
        <f>'24n'!G54</f>
        <v>7671.5518529586498</v>
      </c>
      <c r="G26" s="202">
        <f>'24n'!H54</f>
        <v>7213.7867087756995</v>
      </c>
    </row>
    <row r="27" spans="1:7" s="195" customFormat="1" ht="33" x14ac:dyDescent="0.3">
      <c r="A27" s="192">
        <f>'26n'!A1</f>
        <v>26</v>
      </c>
      <c r="B27" s="185" t="str">
        <f>'26n'!B1</f>
        <v xml:space="preserve">Քաղաքացիների դիմումների, բողոքների, հարցումների թեժ գծի միասնական հարթակի ներդրում </v>
      </c>
      <c r="C27" s="200">
        <f t="shared" si="0"/>
        <v>73140.317852668377</v>
      </c>
      <c r="D27" s="201">
        <f>'26n'!E54</f>
        <v>0</v>
      </c>
      <c r="E27" s="201">
        <f>'26n'!F54</f>
        <v>31045.5</v>
      </c>
      <c r="F27" s="201">
        <f>'26n'!G54</f>
        <v>31045.5</v>
      </c>
      <c r="G27" s="202">
        <f>'26n'!H54</f>
        <v>11049.317852668375</v>
      </c>
    </row>
    <row r="28" spans="1:7" s="195" customFormat="1" ht="33" x14ac:dyDescent="0.3">
      <c r="A28" s="192">
        <f>'27n'!A1</f>
        <v>27</v>
      </c>
      <c r="B28" s="185" t="str">
        <f>'27n'!B1</f>
        <v>Իրավական ակտերի նախագծերի մշակման գործընթացին  հասարակության մասնակցայնության ապահովման արդյունավետության բարձրացում</v>
      </c>
      <c r="C28" s="200">
        <f t="shared" si="0"/>
        <v>49465.990000000005</v>
      </c>
      <c r="D28" s="201">
        <f>'27n'!E54</f>
        <v>3512.2181818181821</v>
      </c>
      <c r="E28" s="201">
        <f>'27n'!F54</f>
        <v>23919.584545454549</v>
      </c>
      <c r="F28" s="201">
        <f>'27n'!G54</f>
        <v>13651.257272727275</v>
      </c>
      <c r="G28" s="202">
        <f>'27n'!H54</f>
        <v>8382.93</v>
      </c>
    </row>
    <row r="29" spans="1:7" s="195" customFormat="1" ht="49.5" x14ac:dyDescent="0.3">
      <c r="A29" s="192">
        <f>'28n'!A1</f>
        <v>28</v>
      </c>
      <c r="B29" s="185" t="str">
        <f>'28n'!B1</f>
        <v>Պետական և տեղական ինքնակառավարման մարմինների կողմից քաղաքացիներին առավել շատ մատուցվող ծառայությունների վերաբերյալ մատչելի տեղեկատվություն ստանալու գործիքակազմի ներդրում՝ այդ թվում դիմումների լրացման օրինակելի ձևերի մշակում</v>
      </c>
      <c r="C29" s="200">
        <f t="shared" si="0"/>
        <v>73670.159868793387</v>
      </c>
      <c r="D29" s="201">
        <f>'28n'!E54</f>
        <v>1113.5250000000001</v>
      </c>
      <c r="E29" s="201">
        <f>'28n'!F54</f>
        <v>47347.73771666667</v>
      </c>
      <c r="F29" s="201">
        <f>'28n'!G54</f>
        <v>24066.614299458335</v>
      </c>
      <c r="G29" s="202">
        <f>'28n'!H54</f>
        <v>1142.282852668375</v>
      </c>
    </row>
    <row r="30" spans="1:7" s="195" customFormat="1" ht="33" x14ac:dyDescent="0.3">
      <c r="A30" s="192">
        <f>'29n'!A1</f>
        <v>29</v>
      </c>
      <c r="B30" s="185" t="str">
        <f>'29n'!B1</f>
        <v>Միասնական օպերատորների sso.am էլեկտրոնային համակարգի արդիականացում և նշված համակարգի հենքի վրա Mygov.am էլեկտրոնային հարթակի ներդրում</v>
      </c>
      <c r="C30" s="200">
        <f t="shared" si="0"/>
        <v>1453504.1529999999</v>
      </c>
      <c r="D30" s="201">
        <f>'29n'!E54</f>
        <v>0</v>
      </c>
      <c r="E30" s="201">
        <f>'29n'!F54</f>
        <v>869274</v>
      </c>
      <c r="F30" s="201">
        <f>'29n'!G54</f>
        <v>293540.93</v>
      </c>
      <c r="G30" s="202">
        <f>'29n'!H54</f>
        <v>290689.223</v>
      </c>
    </row>
    <row r="31" spans="1:7" s="195" customFormat="1" ht="33" x14ac:dyDescent="0.3">
      <c r="A31" s="192">
        <f>'30n'!A1</f>
        <v>30</v>
      </c>
      <c r="B31" s="185" t="str">
        <f>'30n'!B1</f>
        <v>Տեղեկատվության  ազատության մասին ՀՀ օրենքի շրջանակներում պահանջվող տեղեկատվության պրոակտիվ հրապարակման միասնական հարթակի ստեղծում</v>
      </c>
      <c r="C31" s="200">
        <f t="shared" si="0"/>
        <v>134177.46761130373</v>
      </c>
      <c r="D31" s="201">
        <f>'30n'!E54</f>
        <v>0</v>
      </c>
      <c r="E31" s="201">
        <f>'30n'!F54</f>
        <v>9172.5754322166667</v>
      </c>
      <c r="F31" s="201">
        <f>'30n'!G54</f>
        <v>7991.2097053156504</v>
      </c>
      <c r="G31" s="202">
        <f>'30n'!H54</f>
        <v>117013.68247377142</v>
      </c>
    </row>
    <row r="32" spans="1:7" s="195" customFormat="1" ht="17.25" thickBot="1" x14ac:dyDescent="0.35">
      <c r="A32" s="209"/>
      <c r="B32" s="187" t="s">
        <v>361</v>
      </c>
      <c r="C32" s="210">
        <f>SUBTOTAL(9,C15:C31)</f>
        <v>2211747.2640763745</v>
      </c>
      <c r="D32" s="211">
        <f t="shared" ref="D32:G32" si="2">SUBTOTAL(9,D15:D31)</f>
        <v>47101.446678484863</v>
      </c>
      <c r="E32" s="211">
        <f>SUBTOTAL(9,E15:E31)</f>
        <v>1143667.6869826212</v>
      </c>
      <c r="F32" s="211">
        <f t="shared" si="2"/>
        <v>510825.04504410992</v>
      </c>
      <c r="G32" s="212">
        <f t="shared" si="2"/>
        <v>510153.08537115867</v>
      </c>
    </row>
    <row r="33" spans="1:7" s="195" customFormat="1" ht="16.5" x14ac:dyDescent="0.3">
      <c r="A33" s="192"/>
      <c r="B33" s="185"/>
      <c r="C33" s="200"/>
      <c r="D33" s="201"/>
      <c r="E33" s="201"/>
      <c r="F33" s="201"/>
      <c r="G33" s="202"/>
    </row>
    <row r="34" spans="1:7" s="195" customFormat="1" ht="16.5" x14ac:dyDescent="0.3">
      <c r="A34" s="196"/>
      <c r="B34" s="184" t="s">
        <v>358</v>
      </c>
      <c r="C34" s="197"/>
      <c r="D34" s="198"/>
      <c r="E34" s="198"/>
      <c r="F34" s="198"/>
      <c r="G34" s="199"/>
    </row>
    <row r="35" spans="1:7" s="195" customFormat="1" ht="49.5" x14ac:dyDescent="0.3">
      <c r="A35" s="192">
        <f>'34n'!A1</f>
        <v>34</v>
      </c>
      <c r="B35" s="185" t="str">
        <f>'34n'!B1</f>
        <v>Կոռուպցիոն առանձին հանցագործությունների, այդ թվում՝ ապօրինի հարստացման, քննության մեթոդիկայի մշակում, մշակված մեթոդիկայի հիման վրա  քրեական հետապնդման մարմինների վերապատրաստում</v>
      </c>
      <c r="C35" s="200">
        <f t="shared" si="0"/>
        <v>12236.61868455</v>
      </c>
      <c r="D35" s="201">
        <f>'34n'!E50</f>
        <v>994.16000000000008</v>
      </c>
      <c r="E35" s="201">
        <f>'34n'!F50</f>
        <v>6992.4586845499998</v>
      </c>
      <c r="F35" s="201">
        <f>'34n'!G50</f>
        <v>2125</v>
      </c>
      <c r="G35" s="202">
        <f>'34n'!H50</f>
        <v>2125</v>
      </c>
    </row>
    <row r="36" spans="1:7" s="195" customFormat="1" ht="33" x14ac:dyDescent="0.3">
      <c r="A36" s="192">
        <f>'36n'!A1</f>
        <v>36</v>
      </c>
      <c r="B36" s="185" t="str">
        <f>'36n'!B1</f>
        <v>Պետական մարմինների էլեկտրոնային բազաներին քրեական հետապնդման մարմինների հասանելիության ապահովում էլեկտրոնային հարցման եղանակով</v>
      </c>
      <c r="C36" s="200">
        <f t="shared" si="0"/>
        <v>1907290</v>
      </c>
      <c r="D36" s="201">
        <f>'36n'!E54</f>
        <v>0</v>
      </c>
      <c r="E36" s="201">
        <f>'36n'!F54</f>
        <v>1430467.5</v>
      </c>
      <c r="F36" s="201">
        <f>'36n'!G54</f>
        <v>476822.5</v>
      </c>
      <c r="G36" s="202">
        <f>'36n'!H54</f>
        <v>0</v>
      </c>
    </row>
    <row r="37" spans="1:7" s="195" customFormat="1" ht="16.5" x14ac:dyDescent="0.3">
      <c r="A37" s="192">
        <f>'37n'!A1</f>
        <v>37</v>
      </c>
      <c r="B37" s="185" t="str">
        <f>'37n'!B1</f>
        <v>Բանկային հաշիվների կենտրոնացված ռեեստրի ստեղծում</v>
      </c>
      <c r="C37" s="200">
        <f t="shared" si="0"/>
        <v>101154.73812666666</v>
      </c>
      <c r="D37" s="201">
        <f>'37n'!E54</f>
        <v>0</v>
      </c>
      <c r="E37" s="201">
        <f>'37n'!F54</f>
        <v>4568.7381266666671</v>
      </c>
      <c r="F37" s="201">
        <f>'37n'!G54</f>
        <v>57951.6</v>
      </c>
      <c r="G37" s="202">
        <f>'37n'!H54</f>
        <v>38634.400000000001</v>
      </c>
    </row>
    <row r="38" spans="1:7" s="195" customFormat="1" ht="17.25" thickBot="1" x14ac:dyDescent="0.35">
      <c r="A38" s="209"/>
      <c r="B38" s="187" t="s">
        <v>362</v>
      </c>
      <c r="C38" s="210">
        <f>SUBTOTAL(9,C35:C37)</f>
        <v>2020681.3568112168</v>
      </c>
      <c r="D38" s="211">
        <f t="shared" ref="D38:G38" si="3">SUBTOTAL(9,D35:D37)</f>
        <v>994.16000000000008</v>
      </c>
      <c r="E38" s="211">
        <f t="shared" si="3"/>
        <v>1442028.6968112167</v>
      </c>
      <c r="F38" s="211">
        <f t="shared" si="3"/>
        <v>536899.1</v>
      </c>
      <c r="G38" s="212">
        <f t="shared" si="3"/>
        <v>40759.4</v>
      </c>
    </row>
    <row r="39" spans="1:7" s="195" customFormat="1" ht="8.25" customHeight="1" x14ac:dyDescent="0.3">
      <c r="A39" s="192"/>
      <c r="B39" s="185"/>
      <c r="C39" s="200"/>
      <c r="D39" s="201"/>
      <c r="E39" s="201"/>
      <c r="F39" s="201"/>
      <c r="G39" s="202"/>
    </row>
    <row r="40" spans="1:7" s="195" customFormat="1" ht="16.5" x14ac:dyDescent="0.3">
      <c r="A40" s="196"/>
      <c r="B40" s="184" t="s">
        <v>431</v>
      </c>
      <c r="C40" s="197"/>
      <c r="D40" s="198"/>
      <c r="E40" s="198"/>
      <c r="F40" s="198"/>
      <c r="G40" s="199"/>
    </row>
    <row r="41" spans="1:7" s="195" customFormat="1" ht="16.5" x14ac:dyDescent="0.3">
      <c r="A41" s="192">
        <f>'42n'!A1</f>
        <v>42</v>
      </c>
      <c r="B41" s="185" t="str">
        <f>'42n'!B1</f>
        <v>Հանրային իրազեկման տարեկան արշավի ծրագրի մշակում, հաստատում և իրականացում</v>
      </c>
      <c r="C41" s="200">
        <f t="shared" si="0"/>
        <v>317053.90045971429</v>
      </c>
      <c r="D41" s="201">
        <f>'42n'!E50</f>
        <v>4575.4720000000007</v>
      </c>
      <c r="E41" s="201">
        <f>'42n'!F50</f>
        <v>103769.24420955</v>
      </c>
      <c r="F41" s="201">
        <f>'42n'!G50</f>
        <v>106406.933039728</v>
      </c>
      <c r="G41" s="202">
        <f>'42n'!H50</f>
        <v>102302.2512104363</v>
      </c>
    </row>
    <row r="42" spans="1:7" s="195" customFormat="1" ht="33" x14ac:dyDescent="0.3">
      <c r="A42" s="192">
        <f>'43n'!A1</f>
        <v>43</v>
      </c>
      <c r="B42" s="185" t="str">
        <f>'43n'!B1</f>
        <v>«Հակակոռուպցիոն քաղաքականության հիմունքներ» առարկայի ներառում  բոլոր բարձրագույն ուսումնական հաստատությունների դասավանդման մոդուլներում</v>
      </c>
      <c r="C42" s="200">
        <f t="shared" si="0"/>
        <v>79483.401734550003</v>
      </c>
      <c r="D42" s="201">
        <f>'43n'!E50</f>
        <v>3954.2970000000009</v>
      </c>
      <c r="E42" s="201">
        <f>'43n'!F50</f>
        <v>30077.104734550001</v>
      </c>
      <c r="F42" s="201">
        <f>'43n'!G50</f>
        <v>22726</v>
      </c>
      <c r="G42" s="202">
        <f>'43n'!H50</f>
        <v>22726</v>
      </c>
    </row>
    <row r="43" spans="1:7" s="195" customFormat="1" ht="16.5" x14ac:dyDescent="0.3">
      <c r="A43" s="192">
        <f>'44n'!A1</f>
        <v>44</v>
      </c>
      <c r="B43" s="185" t="str">
        <f>'44n'!B1</f>
        <v>Ավագ դպրոցում հակակոռուպցիոն կրթության իրականացում</v>
      </c>
      <c r="C43" s="200">
        <f t="shared" si="0"/>
        <v>2642.2605249999997</v>
      </c>
      <c r="D43" s="201">
        <f>'44n'!E50</f>
        <v>265.125</v>
      </c>
      <c r="E43" s="201">
        <f>'44n'!F50</f>
        <v>1597.1355249999999</v>
      </c>
      <c r="F43" s="201">
        <f>'44n'!G50</f>
        <v>260</v>
      </c>
      <c r="G43" s="202">
        <f>'44n'!H50</f>
        <v>520</v>
      </c>
    </row>
    <row r="44" spans="1:7" s="195" customFormat="1" ht="49.5" x14ac:dyDescent="0.3">
      <c r="A44" s="192">
        <f>'45n'!A1</f>
        <v>45</v>
      </c>
      <c r="B44" s="185" t="str">
        <f>'45n'!B1</f>
        <v>Քաղաքացիական ծառայության համակարգում իրականացվող բարեփոխումների վերաբերյալ իրազեկվածության բարձրացում, վերապատրաստումների իրականացում՝ այդ թվում կոռուպցիայի կանխարգելման, բարեվարքության, «Մարդու իրավունքներ» թեմայով</v>
      </c>
      <c r="C44" s="200">
        <f t="shared" si="0"/>
        <v>19249.951125</v>
      </c>
      <c r="D44" s="201">
        <f>'45n'!E50</f>
        <v>795.375</v>
      </c>
      <c r="E44" s="201">
        <f>'45n'!F50</f>
        <v>7629.5761249999996</v>
      </c>
      <c r="F44" s="201">
        <f>'45n'!G50</f>
        <v>5412.5</v>
      </c>
      <c r="G44" s="202">
        <f>'45n'!H50</f>
        <v>5412.5</v>
      </c>
    </row>
    <row r="45" spans="1:7" s="195" customFormat="1" ht="16.5" x14ac:dyDescent="0.3">
      <c r="A45" s="192">
        <f>'46n'!A1</f>
        <v>46</v>
      </c>
      <c r="B45" s="185" t="str">
        <f>'46n'!B1</f>
        <v>Քաղաքացիական ծառայողների համար հեռավար ուսուցման մոդուլների մշակում</v>
      </c>
      <c r="C45" s="200">
        <f t="shared" si="0"/>
        <v>23490.030525000002</v>
      </c>
      <c r="D45" s="201">
        <f>'46n'!E50</f>
        <v>7854.1050000000005</v>
      </c>
      <c r="E45" s="201">
        <f>'46n'!F50</f>
        <v>3420.065525</v>
      </c>
      <c r="F45" s="201">
        <f>'46n'!G50</f>
        <v>4232.93</v>
      </c>
      <c r="G45" s="202">
        <f>'46n'!H50</f>
        <v>7982.93</v>
      </c>
    </row>
    <row r="46" spans="1:7" s="195" customFormat="1" ht="16.5" x14ac:dyDescent="0.3">
      <c r="A46" s="192">
        <f>'47n'!A1</f>
        <v>47</v>
      </c>
      <c r="B46" s="185" t="str">
        <f>'47n'!B1</f>
        <v>Թափուր պաշտոնների համալրման մրցույթների թեստավորման փուլի օնլայն հեռարձակում</v>
      </c>
      <c r="C46" s="200">
        <f t="shared" si="0"/>
        <v>8196.8450000000012</v>
      </c>
      <c r="D46" s="201">
        <f>'47n'!E50</f>
        <v>6698.0550000000003</v>
      </c>
      <c r="E46" s="201">
        <f>'47n'!F50</f>
        <v>532.93000000000006</v>
      </c>
      <c r="F46" s="201">
        <f>'47n'!G50</f>
        <v>482.93</v>
      </c>
      <c r="G46" s="202">
        <f>'47n'!H50</f>
        <v>482.93</v>
      </c>
    </row>
    <row r="47" spans="1:7" s="195" customFormat="1" ht="17.25" thickBot="1" x14ac:dyDescent="0.35">
      <c r="A47" s="209"/>
      <c r="B47" s="187" t="s">
        <v>363</v>
      </c>
      <c r="C47" s="210">
        <f>SUBTOTAL(9,C41:C46)</f>
        <v>450116.38936926436</v>
      </c>
      <c r="D47" s="211">
        <f t="shared" ref="D47:G47" si="4">SUBTOTAL(9,D41:D46)</f>
        <v>24142.429000000004</v>
      </c>
      <c r="E47" s="211">
        <f t="shared" si="4"/>
        <v>147026.05611909999</v>
      </c>
      <c r="F47" s="211">
        <f t="shared" si="4"/>
        <v>139521.29303972799</v>
      </c>
      <c r="G47" s="212">
        <f t="shared" si="4"/>
        <v>139426.6112104363</v>
      </c>
    </row>
    <row r="48" spans="1:7" s="195" customFormat="1" ht="8.25" customHeight="1" x14ac:dyDescent="0.3">
      <c r="A48" s="192"/>
      <c r="B48" s="185"/>
      <c r="C48" s="200"/>
      <c r="D48" s="201"/>
      <c r="E48" s="201"/>
      <c r="F48" s="201"/>
      <c r="G48" s="202"/>
    </row>
    <row r="49" spans="1:7" s="195" customFormat="1" ht="16.5" x14ac:dyDescent="0.3">
      <c r="A49" s="196"/>
      <c r="B49" s="184" t="s">
        <v>359</v>
      </c>
      <c r="C49" s="197"/>
      <c r="D49" s="198"/>
      <c r="E49" s="198"/>
      <c r="F49" s="198"/>
      <c r="G49" s="199"/>
    </row>
    <row r="50" spans="1:7" s="195" customFormat="1" ht="49.5" x14ac:dyDescent="0.3">
      <c r="A50" s="218">
        <f>'48n'!A1</f>
        <v>48</v>
      </c>
      <c r="B50" s="191" t="str">
        <f>'48n'!B1</f>
        <v>Կոռուպցիայի, հանրային վստահության մակարդակի և հակակոռուպցիոն միջոցառումների ազդեցության վերաբերյալ պարբերական հարցումների իրականացում հասարակության շրջանում, հարցումների արդյունքների հրապարակում</v>
      </c>
      <c r="C50" s="219">
        <f t="shared" si="0"/>
        <v>34997.271882585876</v>
      </c>
      <c r="D50" s="220">
        <f>'48n'!E50</f>
        <v>3344.5800000000004</v>
      </c>
      <c r="E50" s="220">
        <f>'48n'!F50</f>
        <v>16467.21067855</v>
      </c>
      <c r="F50" s="220">
        <f>'48n'!G50</f>
        <v>7446.6134136249993</v>
      </c>
      <c r="G50" s="221">
        <f>'48n'!H50</f>
        <v>7738.8677904108736</v>
      </c>
    </row>
    <row r="51" spans="1:7" s="195" customFormat="1" ht="17.25" thickBot="1" x14ac:dyDescent="0.35">
      <c r="A51" s="209"/>
      <c r="B51" s="187" t="s">
        <v>364</v>
      </c>
      <c r="C51" s="210">
        <f>SUBTOTAL(9,C50)</f>
        <v>34997.271882585876</v>
      </c>
      <c r="D51" s="211">
        <f t="shared" ref="D51:G51" si="5">SUBTOTAL(9,D50)</f>
        <v>3344.5800000000004</v>
      </c>
      <c r="E51" s="211">
        <f>SUBTOTAL(9,E50)</f>
        <v>16467.21067855</v>
      </c>
      <c r="F51" s="211">
        <f t="shared" si="5"/>
        <v>7446.6134136249993</v>
      </c>
      <c r="G51" s="212">
        <f t="shared" si="5"/>
        <v>7738.8677904108736</v>
      </c>
    </row>
    <row r="52" spans="1:7" ht="6.75" customHeight="1" x14ac:dyDescent="0.25">
      <c r="A52" s="123"/>
      <c r="B52" s="124"/>
      <c r="C52" s="128"/>
      <c r="D52" s="125"/>
      <c r="E52" s="125"/>
      <c r="F52" s="125"/>
      <c r="G52" s="126"/>
    </row>
    <row r="53" spans="1:7" s="140" customFormat="1" ht="18" thickBot="1" x14ac:dyDescent="0.35">
      <c r="A53" s="135"/>
      <c r="B53" s="136" t="s">
        <v>365</v>
      </c>
      <c r="C53" s="137">
        <f>SUBTOTAL(9,C7:C52)</f>
        <v>16528044.439295018</v>
      </c>
      <c r="D53" s="138">
        <f t="shared" ref="D53:G53" si="6">SUBTOTAL(9,D7:D52)</f>
        <v>2325281.342017035</v>
      </c>
      <c r="E53" s="138">
        <f>SUBTOTAL(9,E7:E52)</f>
        <v>4017135.5876315716</v>
      </c>
      <c r="F53" s="138">
        <f t="shared" si="6"/>
        <v>5162208.7633181801</v>
      </c>
      <c r="G53" s="139">
        <f t="shared" si="6"/>
        <v>5023418.7463282319</v>
      </c>
    </row>
  </sheetData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42"/>
  <sheetViews>
    <sheetView topLeftCell="A16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34.5" x14ac:dyDescent="0.3">
      <c r="A1" s="227">
        <v>11</v>
      </c>
      <c r="B1" s="228" t="s">
        <v>420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1761.7059253744999</v>
      </c>
      <c r="E5" s="52">
        <f>E63</f>
        <v>0</v>
      </c>
      <c r="F5" s="52">
        <f t="shared" ref="F5:H5" si="1">F63</f>
        <v>553.05074999999999</v>
      </c>
      <c r="G5" s="52">
        <f t="shared" si="1"/>
        <v>807.5647051499999</v>
      </c>
      <c r="H5" s="52">
        <f t="shared" si="1"/>
        <v>401.09047022449994</v>
      </c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</row>
    <row r="7" spans="1:12" ht="14.25" thickBot="1" x14ac:dyDescent="0.3">
      <c r="A7" s="13"/>
      <c r="B7" s="13" t="s">
        <v>5</v>
      </c>
      <c r="C7" s="13"/>
      <c r="D7" s="55">
        <f>SUBTOTAL(9,D5:D6)</f>
        <v>1761.7059253744999</v>
      </c>
      <c r="E7" s="55">
        <f>SUBTOTAL(9,E5:E6)</f>
        <v>0</v>
      </c>
      <c r="F7" s="55">
        <f>SUBTOTAL(9,F5:F6)</f>
        <v>553.05074999999999</v>
      </c>
      <c r="G7" s="55">
        <f>SUBTOTAL(9,G5:G6)</f>
        <v>807.5647051499999</v>
      </c>
      <c r="H7" s="55">
        <f>SUBTOTAL(9,H5:H6)</f>
        <v>401.09047022449994</v>
      </c>
    </row>
    <row r="8" spans="1:12" ht="4.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12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911.66111833333343</v>
      </c>
      <c r="E10" s="52">
        <f>E87</f>
        <v>0</v>
      </c>
      <c r="F10" s="52">
        <f t="shared" ref="F10:H10" si="4">F87</f>
        <v>0</v>
      </c>
      <c r="G10" s="52">
        <f t="shared" si="4"/>
        <v>911.66111833333343</v>
      </c>
      <c r="H10" s="52">
        <f t="shared" si="4"/>
        <v>0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911.66111833333343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911.66111833333343</v>
      </c>
      <c r="H12" s="55">
        <f t="shared" si="5"/>
        <v>0</v>
      </c>
    </row>
    <row r="13" spans="1:12" ht="4.5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12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</row>
    <row r="16" spans="1:12" x14ac:dyDescent="0.25">
      <c r="B16" s="17" t="s">
        <v>73</v>
      </c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</row>
    <row r="18" spans="1:12" ht="5.25" customHeight="1" x14ac:dyDescent="0.25"/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2302.6870093749999</v>
      </c>
      <c r="E20" s="52">
        <f>E99</f>
        <v>0</v>
      </c>
      <c r="F20" s="52">
        <f t="shared" ref="F20:H20" si="10">F99</f>
        <v>709.375</v>
      </c>
      <c r="G20" s="52">
        <f t="shared" si="10"/>
        <v>821.61912499999994</v>
      </c>
      <c r="H20" s="52">
        <f t="shared" si="10"/>
        <v>771.69288437499995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2302.6870093749999</v>
      </c>
      <c r="E22" s="55">
        <f t="shared" ref="E22:H22" si="12">SUBTOTAL(9,E20:E21)</f>
        <v>0</v>
      </c>
      <c r="F22" s="55">
        <f t="shared" si="12"/>
        <v>709.375</v>
      </c>
      <c r="G22" s="55">
        <f t="shared" si="12"/>
        <v>821.61912499999994</v>
      </c>
      <c r="H22" s="55">
        <f t="shared" si="12"/>
        <v>771.69288437499995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E105</f>
        <v>0</v>
      </c>
      <c r="F25" s="52">
        <f t="shared" ref="F25:H25" si="13">F105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500</v>
      </c>
      <c r="E26" s="52">
        <f>E130</f>
        <v>0</v>
      </c>
      <c r="F26" s="52">
        <f>F130</f>
        <v>500</v>
      </c>
      <c r="G26" s="52">
        <f>G130</f>
        <v>0</v>
      </c>
      <c r="H26" s="52">
        <f>H130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500</v>
      </c>
      <c r="E28" s="55">
        <f t="shared" ref="E28:H28" si="15">SUBTOTAL(9,E25:E27)</f>
        <v>0</v>
      </c>
      <c r="F28" s="55">
        <f t="shared" si="15"/>
        <v>500</v>
      </c>
      <c r="G28" s="55">
        <f t="shared" si="15"/>
        <v>0</v>
      </c>
      <c r="H28" s="55">
        <f t="shared" si="15"/>
        <v>0</v>
      </c>
    </row>
    <row r="29" spans="1:12" ht="3.7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" si="20">SUM(E46:H46)</f>
        <v>0</v>
      </c>
      <c r="E46" s="52">
        <f>E139</f>
        <v>0</v>
      </c>
      <c r="F46" s="52">
        <f t="shared" ref="F46:H46" si="21">F139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ref="D47" si="22">SUM(E47:H47)</f>
        <v>150</v>
      </c>
      <c r="E47" s="52">
        <f>E135</f>
        <v>0</v>
      </c>
      <c r="F47" s="52">
        <f t="shared" ref="F47:H47" si="23">F135</f>
        <v>0</v>
      </c>
      <c r="G47" s="52">
        <f t="shared" si="23"/>
        <v>100</v>
      </c>
      <c r="H47" s="52">
        <f t="shared" si="23"/>
        <v>50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150</v>
      </c>
      <c r="E48" s="55">
        <f>SUBTOTAL(9,E46:E47)</f>
        <v>0</v>
      </c>
      <c r="F48" s="55">
        <f>SUBTOTAL(9,F46:F47)</f>
        <v>0</v>
      </c>
      <c r="G48" s="55">
        <f>SUBTOTAL(9,G46:G47)</f>
        <v>100</v>
      </c>
      <c r="H48" s="55">
        <f>SUBTOTAL(9,H46:H47)</f>
        <v>50</v>
      </c>
    </row>
    <row r="49" spans="1:8" ht="6.75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5626.054053082833</v>
      </c>
      <c r="E50" s="57">
        <f>SUBTOTAL(9,E5:E48)</f>
        <v>0</v>
      </c>
      <c r="F50" s="57">
        <f>SUBTOTAL(9,F5:F48)</f>
        <v>1762.4257499999999</v>
      </c>
      <c r="G50" s="57">
        <f>SUBTOTAL(9,G5:G48)</f>
        <v>2640.8449484833336</v>
      </c>
      <c r="H50" s="57">
        <f>SUBTOTAL(9,H5:H48)</f>
        <v>1222.7833545994999</v>
      </c>
    </row>
    <row r="51" spans="1:8" ht="14.25" thickBot="1" x14ac:dyDescent="0.3">
      <c r="A51" s="1"/>
      <c r="B51" s="1"/>
      <c r="C51" s="1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/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0</v>
      </c>
      <c r="F63" s="52">
        <f t="shared" ref="F63:H63" si="24">F64*F65</f>
        <v>553.05074999999999</v>
      </c>
      <c r="G63" s="52">
        <f t="shared" si="24"/>
        <v>807.5647051499999</v>
      </c>
      <c r="H63" s="52">
        <f t="shared" si="24"/>
        <v>401.09047022449994</v>
      </c>
    </row>
    <row r="64" spans="1:8" x14ac:dyDescent="0.25">
      <c r="A64" s="9"/>
      <c r="B64" s="9" t="s">
        <v>129</v>
      </c>
      <c r="C64" s="9" t="s">
        <v>128</v>
      </c>
      <c r="E64" s="52">
        <v>0</v>
      </c>
      <c r="F64" s="52">
        <v>30</v>
      </c>
      <c r="G64" s="52">
        <v>42</v>
      </c>
      <c r="H64" s="52">
        <v>20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5">F68*F69</f>
        <v>0</v>
      </c>
      <c r="G67" s="52">
        <f t="shared" si="25"/>
        <v>0</v>
      </c>
      <c r="H67" s="52">
        <f t="shared" si="25"/>
        <v>0</v>
      </c>
      <c r="I67" s="6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44">
        <v>0</v>
      </c>
      <c r="H68" s="44">
        <v>0</v>
      </c>
      <c r="I68" s="6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6">F88*F89+F91*F92</f>
        <v>0</v>
      </c>
      <c r="G87" s="60">
        <f t="shared" si="26"/>
        <v>911.66111833333343</v>
      </c>
      <c r="H87" s="60">
        <f t="shared" si="26"/>
        <v>0</v>
      </c>
    </row>
    <row r="88" spans="1:12" s="7" customFormat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1</v>
      </c>
      <c r="H88" s="52">
        <v>0</v>
      </c>
      <c r="I88" s="6"/>
      <c r="J88" s="6"/>
      <c r="K88" s="6"/>
      <c r="L88" s="6"/>
    </row>
    <row r="89" spans="1:12" s="7" customFormat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7">F96*F97</f>
        <v>0</v>
      </c>
      <c r="G95" s="60">
        <f t="shared" si="27"/>
        <v>0</v>
      </c>
      <c r="H95" s="60">
        <f t="shared" si="27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/>
    <row r="99" spans="1:12" x14ac:dyDescent="0.25">
      <c r="A99" s="58"/>
      <c r="B99" s="58" t="s">
        <v>148</v>
      </c>
      <c r="C99" s="58"/>
      <c r="D99" s="60"/>
      <c r="E99" s="60">
        <f>E100*E101+E102*E103</f>
        <v>0</v>
      </c>
      <c r="F99" s="60">
        <f t="shared" ref="F99:H99" si="28">F100*F101+F102*F103</f>
        <v>709.375</v>
      </c>
      <c r="G99" s="60">
        <f t="shared" si="28"/>
        <v>821.61912499999994</v>
      </c>
      <c r="H99" s="60">
        <f t="shared" si="28"/>
        <v>771.69288437499995</v>
      </c>
    </row>
    <row r="100" spans="1:12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x14ac:dyDescent="0.25">
      <c r="B101" s="45" t="s">
        <v>151</v>
      </c>
      <c r="F101" s="52">
        <f>F88</f>
        <v>0</v>
      </c>
      <c r="G101" s="52">
        <f t="shared" ref="G101:H101" si="29">G88</f>
        <v>1</v>
      </c>
      <c r="H101" s="52">
        <f t="shared" si="29"/>
        <v>0</v>
      </c>
    </row>
    <row r="102" spans="1:12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x14ac:dyDescent="0.25">
      <c r="B103" s="45" t="s">
        <v>153</v>
      </c>
      <c r="E103" s="52">
        <v>0</v>
      </c>
      <c r="F103" s="52">
        <v>1</v>
      </c>
      <c r="G103" s="52">
        <v>1</v>
      </c>
      <c r="H103" s="52">
        <v>1</v>
      </c>
    </row>
    <row r="104" spans="1:12" x14ac:dyDescent="0.25">
      <c r="B104" s="45"/>
    </row>
    <row r="105" spans="1:12" hidden="1" x14ac:dyDescent="0.25">
      <c r="A105" s="58"/>
      <c r="B105" s="58" t="s">
        <v>24</v>
      </c>
      <c r="C105" s="58"/>
      <c r="D105" s="60"/>
      <c r="E105" s="60">
        <f>E106*E107</f>
        <v>0</v>
      </c>
      <c r="F105" s="60">
        <f t="shared" ref="F105:H105" si="30">F106*F107</f>
        <v>0</v>
      </c>
      <c r="G105" s="60">
        <f t="shared" si="30"/>
        <v>0</v>
      </c>
      <c r="H105" s="60">
        <f t="shared" si="30"/>
        <v>0</v>
      </c>
    </row>
    <row r="106" spans="1:12" s="7" customFormat="1" hidden="1" x14ac:dyDescent="0.25">
      <c r="A106" s="5"/>
      <c r="B106" s="45" t="s">
        <v>54</v>
      </c>
      <c r="C106" s="5"/>
      <c r="D106" s="52"/>
      <c r="E106" s="52">
        <v>0</v>
      </c>
      <c r="F106" s="52">
        <v>0</v>
      </c>
      <c r="G106" s="52">
        <v>0</v>
      </c>
      <c r="H106" s="52">
        <v>0</v>
      </c>
      <c r="I106" s="6"/>
      <c r="J106" s="6"/>
      <c r="K106" s="6"/>
      <c r="L106" s="6"/>
    </row>
    <row r="107" spans="1:12" s="7" customFormat="1" hidden="1" x14ac:dyDescent="0.25">
      <c r="A107" s="5"/>
      <c r="B107" s="45" t="s">
        <v>55</v>
      </c>
      <c r="C107" s="5"/>
      <c r="D107" s="52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hidden="1" x14ac:dyDescent="0.25"/>
    <row r="109" spans="1:12" hidden="1" x14ac:dyDescent="0.25">
      <c r="A109" s="58"/>
      <c r="B109" s="58" t="s">
        <v>7</v>
      </c>
      <c r="C109" s="58"/>
      <c r="D109" s="60"/>
      <c r="E109" s="60"/>
      <c r="F109" s="60"/>
      <c r="G109" s="60"/>
      <c r="H109" s="60"/>
    </row>
    <row r="110" spans="1:12" s="7" customFormat="1" hidden="1" x14ac:dyDescent="0.25">
      <c r="A110" s="5"/>
      <c r="B110" s="4" t="s">
        <v>58</v>
      </c>
      <c r="C110" s="5"/>
      <c r="D110" s="52"/>
      <c r="E110" s="52"/>
      <c r="F110" s="52"/>
      <c r="G110" s="44"/>
      <c r="H110" s="44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91"/>
      <c r="E111" s="91"/>
      <c r="F111" s="91"/>
      <c r="G111" s="92"/>
      <c r="H111" s="92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91"/>
      <c r="E112" s="91"/>
      <c r="F112" s="91"/>
      <c r="G112" s="92"/>
      <c r="H112" s="92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hidden="1" x14ac:dyDescent="0.25"/>
    <row r="115" spans="1:12" hidden="1" x14ac:dyDescent="0.25">
      <c r="A115" s="58"/>
      <c r="B115" s="58" t="s">
        <v>26</v>
      </c>
      <c r="C115" s="58"/>
      <c r="D115" s="60"/>
      <c r="E115" s="60"/>
      <c r="F115" s="60"/>
      <c r="G115" s="60"/>
      <c r="H115" s="60"/>
    </row>
    <row r="116" spans="1:12" s="5" customFormat="1" hidden="1" x14ac:dyDescent="0.25">
      <c r="B116" s="63" t="s">
        <v>61</v>
      </c>
      <c r="D116" s="52"/>
      <c r="E116" s="52"/>
      <c r="F116" s="52"/>
      <c r="G116" s="44"/>
      <c r="H116" s="44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52"/>
      <c r="E117" s="52"/>
      <c r="F117" s="52"/>
      <c r="G117" s="44"/>
      <c r="H117" s="44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hidden="1" x14ac:dyDescent="0.25"/>
    <row r="126" spans="1:12" x14ac:dyDescent="0.25">
      <c r="A126" s="58"/>
      <c r="B126" s="58" t="s">
        <v>25</v>
      </c>
      <c r="C126" s="58"/>
      <c r="D126" s="60"/>
      <c r="E126" s="60"/>
      <c r="F126" s="60"/>
      <c r="G126" s="60"/>
      <c r="H126" s="60"/>
    </row>
    <row r="127" spans="1:12" s="5" customFormat="1" hidden="1" x14ac:dyDescent="0.25">
      <c r="B127" s="47" t="s">
        <v>64</v>
      </c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x14ac:dyDescent="0.25">
      <c r="B130" s="5" t="s">
        <v>173</v>
      </c>
      <c r="D130" s="52"/>
      <c r="E130" s="52">
        <f>E131+E132*E133</f>
        <v>0</v>
      </c>
      <c r="F130" s="52">
        <f t="shared" ref="F130:H130" si="31">F131+F132*F133</f>
        <v>500</v>
      </c>
      <c r="G130" s="52">
        <f t="shared" si="31"/>
        <v>0</v>
      </c>
      <c r="H130" s="52">
        <f t="shared" si="31"/>
        <v>0</v>
      </c>
    </row>
    <row r="131" spans="1:12" x14ac:dyDescent="0.25">
      <c r="B131" s="47" t="s">
        <v>172</v>
      </c>
      <c r="F131" s="52">
        <f>'Rates and GI'!D57*2</f>
        <v>300</v>
      </c>
    </row>
    <row r="132" spans="1:12" x14ac:dyDescent="0.25">
      <c r="B132" s="47" t="s">
        <v>178</v>
      </c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x14ac:dyDescent="0.25">
      <c r="B133" s="47" t="s">
        <v>179</v>
      </c>
      <c r="F133" s="52">
        <f>2*5000</f>
        <v>10000</v>
      </c>
      <c r="G133" s="52"/>
      <c r="H133" s="52"/>
    </row>
    <row r="134" spans="1:12" s="5" customFormat="1" x14ac:dyDescent="0.25">
      <c r="B134" s="47"/>
      <c r="D134" s="52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60"/>
      <c r="E135" s="60">
        <f>E136*E137+E138*E139+E140*E141</f>
        <v>0</v>
      </c>
      <c r="F135" s="60">
        <f t="shared" ref="F135:H135" si="32">F136*F137+F138*F139+F140*F141</f>
        <v>0</v>
      </c>
      <c r="G135" s="60">
        <f t="shared" si="32"/>
        <v>100</v>
      </c>
      <c r="H135" s="60">
        <f t="shared" si="32"/>
        <v>50</v>
      </c>
    </row>
    <row r="136" spans="1:12" hidden="1" x14ac:dyDescent="0.25">
      <c r="B136" s="47" t="s">
        <v>169</v>
      </c>
      <c r="G136" s="52"/>
      <c r="H136" s="52"/>
    </row>
    <row r="137" spans="1:12" hidden="1" x14ac:dyDescent="0.25">
      <c r="B137" s="47" t="s">
        <v>170</v>
      </c>
      <c r="G137" s="52"/>
      <c r="H137" s="52"/>
    </row>
    <row r="138" spans="1:12" hidden="1" x14ac:dyDescent="0.25">
      <c r="B138" s="47" t="s">
        <v>167</v>
      </c>
      <c r="G138" s="52"/>
      <c r="H138" s="52"/>
    </row>
    <row r="139" spans="1:12" hidden="1" x14ac:dyDescent="0.25">
      <c r="B139" s="47" t="s">
        <v>168</v>
      </c>
      <c r="G139" s="52"/>
      <c r="H139" s="52"/>
    </row>
    <row r="140" spans="1:12" s="5" customFormat="1" x14ac:dyDescent="0.25">
      <c r="B140" s="47" t="s">
        <v>354</v>
      </c>
      <c r="D140" s="52"/>
      <c r="E140" s="52">
        <v>0</v>
      </c>
      <c r="F140" s="52">
        <v>0</v>
      </c>
      <c r="G140" s="44">
        <v>2</v>
      </c>
      <c r="H140" s="44">
        <v>1</v>
      </c>
      <c r="I140" s="6"/>
      <c r="J140" s="6"/>
      <c r="K140" s="6"/>
      <c r="L140" s="6"/>
    </row>
    <row r="141" spans="1:12" s="5" customFormat="1" x14ac:dyDescent="0.25">
      <c r="B141" s="47" t="s">
        <v>349</v>
      </c>
      <c r="D141" s="52"/>
      <c r="E141" s="52">
        <f>'Rates and GI'!$D$72</f>
        <v>50</v>
      </c>
      <c r="F141" s="52">
        <f>'Rates and GI'!$D$72</f>
        <v>50</v>
      </c>
      <c r="G141" s="52">
        <f>'Rates and GI'!$D$72</f>
        <v>50</v>
      </c>
      <c r="H141" s="52">
        <f>'Rates and GI'!$D$72</f>
        <v>50</v>
      </c>
      <c r="I141" s="6"/>
      <c r="J141" s="6"/>
      <c r="K141" s="6"/>
      <c r="L141" s="6"/>
    </row>
    <row r="142" spans="1:12" x14ac:dyDescent="0.25">
      <c r="A142" s="58"/>
      <c r="B142" s="58"/>
      <c r="C142" s="58"/>
      <c r="D142" s="60"/>
      <c r="E142" s="60"/>
      <c r="F142" s="60"/>
      <c r="G142" s="60"/>
      <c r="H142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42"/>
  <sheetViews>
    <sheetView topLeftCell="A7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17.25" x14ac:dyDescent="0.3">
      <c r="A1" s="227">
        <v>12</v>
      </c>
      <c r="B1" s="228" t="s">
        <v>180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2214.1849437933752</v>
      </c>
      <c r="E5" s="52">
        <f>E63</f>
        <v>795.375</v>
      </c>
      <c r="F5" s="52">
        <f t="shared" ref="F5:H5" si="1">F63</f>
        <v>829.57612499999993</v>
      </c>
      <c r="G5" s="52">
        <f t="shared" si="1"/>
        <v>288.41596612499995</v>
      </c>
      <c r="H5" s="52">
        <f t="shared" si="1"/>
        <v>300.81785266837494</v>
      </c>
    </row>
    <row r="6" spans="1:12" x14ac:dyDescent="0.25">
      <c r="B6" s="17" t="s">
        <v>191</v>
      </c>
      <c r="D6" s="52">
        <f t="shared" si="0"/>
        <v>8830.5419501768702</v>
      </c>
      <c r="E6" s="52">
        <f>E67</f>
        <v>3433.1220000000008</v>
      </c>
      <c r="F6" s="52">
        <f t="shared" ref="F6:H6" si="2">F67</f>
        <v>3580.7462460000002</v>
      </c>
      <c r="G6" s="52">
        <f t="shared" si="2"/>
        <v>889.21865108999998</v>
      </c>
      <c r="H6" s="52">
        <f t="shared" si="2"/>
        <v>927.45505308686984</v>
      </c>
    </row>
    <row r="7" spans="1:12" ht="14.25" thickBot="1" x14ac:dyDescent="0.3">
      <c r="A7" s="13"/>
      <c r="B7" s="13" t="s">
        <v>5</v>
      </c>
      <c r="C7" s="13"/>
      <c r="D7" s="55">
        <f>SUBTOTAL(9,D5:D6)</f>
        <v>11044.726893970244</v>
      </c>
      <c r="E7" s="55">
        <f>SUBTOTAL(9,E5:E6)</f>
        <v>4228.4970000000012</v>
      </c>
      <c r="F7" s="55">
        <f>SUBTOTAL(9,F5:F6)</f>
        <v>4410.3223710000002</v>
      </c>
      <c r="G7" s="55">
        <f>SUBTOTAL(9,G5:G6)</f>
        <v>1177.6346172149999</v>
      </c>
      <c r="H7" s="55">
        <f>SUBTOTAL(9,H5:H6)</f>
        <v>1228.2729057552447</v>
      </c>
    </row>
    <row r="8" spans="1:12" ht="4.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12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</row>
    <row r="13" spans="1:12" ht="3.75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3039.108004161104</v>
      </c>
      <c r="E15" s="52">
        <f>E95</f>
        <v>712.48985000000005</v>
      </c>
      <c r="F15" s="52">
        <f t="shared" ref="F15:H15" si="7">F95</f>
        <v>743.12691355000004</v>
      </c>
      <c r="G15" s="52">
        <f t="shared" si="7"/>
        <v>775.08137083265001</v>
      </c>
      <c r="H15" s="52">
        <f t="shared" si="7"/>
        <v>808.40986977845387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3039.108004161104</v>
      </c>
      <c r="E17" s="55">
        <f t="shared" ref="E17:H17" si="8">SUBTOTAL(9,E15:E16)</f>
        <v>712.48985000000005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808.40986977845387</v>
      </c>
      <c r="I17" s="70"/>
    </row>
    <row r="18" spans="1:12" ht="5.2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4.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255.92853041999996</v>
      </c>
      <c r="E25" s="52">
        <f>E105</f>
        <v>60</v>
      </c>
      <c r="F25" s="52">
        <f t="shared" ref="F25:H25" si="13">F105</f>
        <v>62.579999999999991</v>
      </c>
      <c r="G25" s="52">
        <f t="shared" si="13"/>
        <v>65.270939999999996</v>
      </c>
      <c r="H25" s="52">
        <f t="shared" si="13"/>
        <v>68.077590419999993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E130</f>
        <v>0</v>
      </c>
      <c r="F26" s="52">
        <f>F130</f>
        <v>0</v>
      </c>
      <c r="G26" s="52">
        <f>G130</f>
        <v>0</v>
      </c>
      <c r="H26" s="52">
        <f>H130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255.92853041999996</v>
      </c>
      <c r="E28" s="55">
        <f t="shared" ref="E28:H28" si="15">SUBTOTAL(9,E25:E27)</f>
        <v>60</v>
      </c>
      <c r="F28" s="55">
        <f t="shared" si="15"/>
        <v>62.579999999999991</v>
      </c>
      <c r="G28" s="55">
        <f t="shared" si="15"/>
        <v>65.270939999999996</v>
      </c>
      <c r="H28" s="55">
        <f t="shared" si="15"/>
        <v>68.077590419999993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3.7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" si="20">SUM(E46:H46)</f>
        <v>0</v>
      </c>
      <c r="E46" s="52">
        <f>E139</f>
        <v>0</v>
      </c>
      <c r="F46" s="52">
        <f t="shared" ref="F46:H46" si="21">F139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ref="D47" si="22">SUM(E47:H47)</f>
        <v>100</v>
      </c>
      <c r="E47" s="52">
        <f>E135</f>
        <v>0</v>
      </c>
      <c r="F47" s="52">
        <f t="shared" ref="F47:H47" si="23">F135</f>
        <v>50</v>
      </c>
      <c r="G47" s="52">
        <f t="shared" si="23"/>
        <v>50</v>
      </c>
      <c r="H47" s="52">
        <f t="shared" si="23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100</v>
      </c>
      <c r="E48" s="55">
        <f>SUBTOTAL(9,E46:E47)</f>
        <v>0</v>
      </c>
      <c r="F48" s="55">
        <f>SUBTOTAL(9,F46:F47)</f>
        <v>50</v>
      </c>
      <c r="G48" s="55">
        <f>SUBTOTAL(9,G46:G47)</f>
        <v>50</v>
      </c>
      <c r="H48" s="55">
        <f>SUBTOTAL(9,H46:H47)</f>
        <v>0</v>
      </c>
    </row>
    <row r="49" spans="1:10" ht="4.5" customHeight="1" x14ac:dyDescent="0.25">
      <c r="A49" s="1"/>
      <c r="B49" s="1"/>
      <c r="C49" s="1"/>
    </row>
    <row r="50" spans="1:10" ht="14.25" thickBot="1" x14ac:dyDescent="0.3">
      <c r="A50" s="56"/>
      <c r="B50" s="56" t="s">
        <v>160</v>
      </c>
      <c r="C50" s="56"/>
      <c r="D50" s="57">
        <f>SUBTOTAL(9,D5:D48)</f>
        <v>14439.763428551349</v>
      </c>
      <c r="E50" s="57">
        <f>SUBTOTAL(9,E5:E48)</f>
        <v>5000.9868500000011</v>
      </c>
      <c r="F50" s="57">
        <f>SUBTOTAL(9,F5:F48)</f>
        <v>5266.0292845499998</v>
      </c>
      <c r="G50" s="57">
        <f>SUBTOTAL(9,G5:G48)</f>
        <v>2067.9869280476501</v>
      </c>
      <c r="H50" s="57">
        <f>SUBTOTAL(9,H5:H48)</f>
        <v>2104.7603659536985</v>
      </c>
    </row>
    <row r="51" spans="1:10" ht="14.25" thickBot="1" x14ac:dyDescent="0.3">
      <c r="A51" s="1"/>
      <c r="B51" s="1"/>
      <c r="C51" s="1"/>
    </row>
    <row r="52" spans="1:10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10" ht="6.75" customHeight="1" x14ac:dyDescent="0.25">
      <c r="A53" s="1"/>
      <c r="B53" s="1"/>
      <c r="C53" s="1"/>
    </row>
    <row r="54" spans="1:10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10" ht="6.75" customHeight="1" x14ac:dyDescent="0.25"/>
    <row r="56" spans="1:10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10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10" hidden="1" x14ac:dyDescent="0.25">
      <c r="A58" s="9"/>
      <c r="B58" s="9" t="s">
        <v>37</v>
      </c>
      <c r="C58" s="9"/>
      <c r="E58" s="52">
        <v>0</v>
      </c>
    </row>
    <row r="59" spans="1:10" hidden="1" x14ac:dyDescent="0.25">
      <c r="A59" s="9"/>
      <c r="B59" s="9" t="s">
        <v>38</v>
      </c>
      <c r="C59" s="9"/>
      <c r="D59" s="53"/>
      <c r="E59" s="53">
        <v>0</v>
      </c>
    </row>
    <row r="60" spans="1:10" hidden="1" x14ac:dyDescent="0.25">
      <c r="A60" s="9"/>
      <c r="B60" s="9" t="s">
        <v>39</v>
      </c>
      <c r="C60" s="9"/>
      <c r="E60" s="52">
        <v>0</v>
      </c>
    </row>
    <row r="61" spans="1:10" hidden="1" x14ac:dyDescent="0.25">
      <c r="A61" s="9"/>
      <c r="B61" s="9" t="s">
        <v>40</v>
      </c>
      <c r="C61" s="9"/>
      <c r="E61" s="54">
        <v>0</v>
      </c>
    </row>
    <row r="62" spans="1:10" hidden="1" x14ac:dyDescent="0.25">
      <c r="A62" s="9"/>
      <c r="B62" s="9"/>
      <c r="C62" s="9"/>
    </row>
    <row r="63" spans="1:10" x14ac:dyDescent="0.25">
      <c r="B63" s="5" t="s">
        <v>23</v>
      </c>
      <c r="E63" s="52">
        <f>E64*E65</f>
        <v>795.375</v>
      </c>
      <c r="F63" s="52">
        <f t="shared" ref="F63:H63" si="24">F64*F65</f>
        <v>829.57612499999993</v>
      </c>
      <c r="G63" s="52">
        <f t="shared" si="24"/>
        <v>288.41596612499995</v>
      </c>
      <c r="H63" s="52">
        <f t="shared" si="24"/>
        <v>300.81785266837494</v>
      </c>
    </row>
    <row r="64" spans="1:10" x14ac:dyDescent="0.25">
      <c r="A64" s="9"/>
      <c r="B64" s="9" t="s">
        <v>129</v>
      </c>
      <c r="C64" s="9" t="s">
        <v>128</v>
      </c>
      <c r="E64" s="52">
        <v>45</v>
      </c>
      <c r="F64" s="52">
        <v>45</v>
      </c>
      <c r="G64" s="52">
        <v>15</v>
      </c>
      <c r="H64" s="52">
        <v>15</v>
      </c>
      <c r="J64" s="41"/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3433.1220000000008</v>
      </c>
      <c r="F67" s="52">
        <f t="shared" ref="F67:H67" si="25">F68*F69</f>
        <v>3580.7462460000002</v>
      </c>
      <c r="G67" s="52">
        <f t="shared" si="25"/>
        <v>889.21865108999998</v>
      </c>
      <c r="H67" s="52">
        <f t="shared" si="25"/>
        <v>927.45505308686984</v>
      </c>
      <c r="I67" s="6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21</v>
      </c>
      <c r="F68" s="52">
        <v>21</v>
      </c>
      <c r="G68" s="44">
        <v>5</v>
      </c>
      <c r="H68" s="44">
        <v>5</v>
      </c>
      <c r="I68" s="6"/>
      <c r="J68" s="41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6">F88*F89+F91*F92</f>
        <v>0</v>
      </c>
      <c r="G87" s="60">
        <f t="shared" si="26"/>
        <v>0</v>
      </c>
      <c r="H87" s="60">
        <f t="shared" si="26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x14ac:dyDescent="0.25">
      <c r="A95" s="58"/>
      <c r="B95" s="58" t="s">
        <v>194</v>
      </c>
      <c r="C95" s="58"/>
      <c r="D95" s="60"/>
      <c r="E95" s="60">
        <f>E96*E97</f>
        <v>712.48985000000005</v>
      </c>
      <c r="F95" s="60">
        <f t="shared" ref="F95:H95" si="27">F96*F97</f>
        <v>743.12691355000004</v>
      </c>
      <c r="G95" s="60">
        <f t="shared" si="27"/>
        <v>775.08137083265001</v>
      </c>
      <c r="H95" s="60">
        <f t="shared" si="27"/>
        <v>808.40986977845387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>
        <v>1</v>
      </c>
      <c r="F96" s="52">
        <v>1</v>
      </c>
      <c r="G96" s="52">
        <v>1</v>
      </c>
      <c r="H96" s="52">
        <v>1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9" spans="1:12" hidden="1" x14ac:dyDescent="0.25">
      <c r="A99" s="58"/>
      <c r="B99" s="58" t="s">
        <v>148</v>
      </c>
      <c r="C99" s="58"/>
      <c r="D99" s="60"/>
      <c r="E99" s="60">
        <f>E100*E101+E102*E103</f>
        <v>0</v>
      </c>
      <c r="F99" s="60">
        <f t="shared" ref="F99:H99" si="28">F100*F101+F102*F103</f>
        <v>0</v>
      </c>
      <c r="G99" s="60">
        <f t="shared" si="28"/>
        <v>0</v>
      </c>
      <c r="H99" s="60">
        <f t="shared" si="28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9">G88</f>
        <v>0</v>
      </c>
      <c r="H101" s="52">
        <f t="shared" si="29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/>
    </row>
    <row r="105" spans="1:12" x14ac:dyDescent="0.25">
      <c r="A105" s="58"/>
      <c r="B105" s="58" t="s">
        <v>24</v>
      </c>
      <c r="C105" s="58"/>
      <c r="D105" s="60"/>
      <c r="E105" s="60">
        <f>E106*E107</f>
        <v>60</v>
      </c>
      <c r="F105" s="60">
        <f t="shared" ref="F105:H105" si="30">F106*F107</f>
        <v>62.579999999999991</v>
      </c>
      <c r="G105" s="60">
        <f t="shared" si="30"/>
        <v>65.270939999999996</v>
      </c>
      <c r="H105" s="60">
        <f t="shared" si="30"/>
        <v>68.077590419999993</v>
      </c>
    </row>
    <row r="106" spans="1:12" s="7" customFormat="1" x14ac:dyDescent="0.25">
      <c r="A106" s="5"/>
      <c r="B106" s="45" t="s">
        <v>54</v>
      </c>
      <c r="C106" s="5"/>
      <c r="D106" s="52"/>
      <c r="E106" s="52">
        <v>10</v>
      </c>
      <c r="F106" s="52">
        <v>10</v>
      </c>
      <c r="G106" s="52">
        <v>10</v>
      </c>
      <c r="H106" s="52">
        <v>10</v>
      </c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52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9" spans="1:12" hidden="1" x14ac:dyDescent="0.25">
      <c r="A109" s="58"/>
      <c r="B109" s="58" t="s">
        <v>7</v>
      </c>
      <c r="C109" s="58"/>
      <c r="D109" s="60"/>
      <c r="E109" s="60"/>
      <c r="F109" s="60"/>
      <c r="G109" s="60"/>
      <c r="H109" s="60"/>
    </row>
    <row r="110" spans="1:12" s="7" customFormat="1" hidden="1" x14ac:dyDescent="0.25">
      <c r="A110" s="5"/>
      <c r="B110" s="4" t="s">
        <v>58</v>
      </c>
      <c r="C110" s="5"/>
      <c r="D110" s="52"/>
      <c r="E110" s="52"/>
      <c r="F110" s="52"/>
      <c r="G110" s="44"/>
      <c r="H110" s="44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91"/>
      <c r="E111" s="91"/>
      <c r="F111" s="91"/>
      <c r="G111" s="92"/>
      <c r="H111" s="92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91"/>
      <c r="E112" s="91"/>
      <c r="F112" s="91"/>
      <c r="G112" s="92"/>
      <c r="H112" s="92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hidden="1" x14ac:dyDescent="0.25"/>
    <row r="115" spans="1:12" hidden="1" x14ac:dyDescent="0.25">
      <c r="A115" s="58"/>
      <c r="B115" s="58" t="s">
        <v>26</v>
      </c>
      <c r="C115" s="58"/>
      <c r="D115" s="60"/>
      <c r="E115" s="60"/>
      <c r="F115" s="60"/>
      <c r="G115" s="60"/>
      <c r="H115" s="60"/>
    </row>
    <row r="116" spans="1:12" s="5" customFormat="1" hidden="1" x14ac:dyDescent="0.25">
      <c r="B116" s="63" t="s">
        <v>61</v>
      </c>
      <c r="D116" s="52"/>
      <c r="E116" s="52"/>
      <c r="F116" s="52"/>
      <c r="G116" s="44"/>
      <c r="H116" s="44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52"/>
      <c r="E117" s="52"/>
      <c r="F117" s="52"/>
      <c r="G117" s="44"/>
      <c r="H117" s="44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hidden="1" x14ac:dyDescent="0.25"/>
    <row r="126" spans="1:12" hidden="1" x14ac:dyDescent="0.25">
      <c r="A126" s="58"/>
      <c r="B126" s="58" t="s">
        <v>25</v>
      </c>
      <c r="C126" s="58"/>
      <c r="D126" s="60"/>
      <c r="E126" s="60"/>
      <c r="F126" s="60"/>
      <c r="G126" s="60"/>
      <c r="H126" s="60"/>
    </row>
    <row r="127" spans="1:12" s="5" customFormat="1" hidden="1" x14ac:dyDescent="0.25">
      <c r="B127" s="47" t="s">
        <v>64</v>
      </c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5" t="s">
        <v>173</v>
      </c>
      <c r="D130" s="52"/>
      <c r="E130" s="52">
        <f>E131+E132*E133</f>
        <v>0</v>
      </c>
      <c r="F130" s="52">
        <f t="shared" ref="F130:H130" si="31">F131+F132*F133</f>
        <v>0</v>
      </c>
      <c r="G130" s="52">
        <f t="shared" si="31"/>
        <v>0</v>
      </c>
      <c r="H130" s="52">
        <f t="shared" si="31"/>
        <v>0</v>
      </c>
    </row>
    <row r="131" spans="1:12" hidden="1" x14ac:dyDescent="0.25">
      <c r="B131" s="47" t="s">
        <v>172</v>
      </c>
      <c r="E131" s="52">
        <v>0</v>
      </c>
    </row>
    <row r="132" spans="1:12" hidden="1" x14ac:dyDescent="0.25">
      <c r="B132" s="47" t="s">
        <v>178</v>
      </c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hidden="1" x14ac:dyDescent="0.25">
      <c r="B133" s="47" t="s">
        <v>179</v>
      </c>
      <c r="E133" s="52">
        <v>0</v>
      </c>
      <c r="G133" s="52"/>
      <c r="H133" s="52"/>
    </row>
    <row r="134" spans="1:12" s="5" customFormat="1" hidden="1" x14ac:dyDescent="0.25">
      <c r="B134" s="47"/>
      <c r="D134" s="52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60"/>
      <c r="E135" s="60">
        <f>E136*E137+E138*E139+E140*E141</f>
        <v>0</v>
      </c>
      <c r="F135" s="60">
        <f t="shared" ref="F135:H135" si="32">F136*F137+F138*F139+F140*F141</f>
        <v>50</v>
      </c>
      <c r="G135" s="60">
        <f t="shared" si="32"/>
        <v>50</v>
      </c>
      <c r="H135" s="60">
        <f t="shared" si="32"/>
        <v>0</v>
      </c>
    </row>
    <row r="136" spans="1:12" hidden="1" x14ac:dyDescent="0.25">
      <c r="B136" s="47" t="s">
        <v>169</v>
      </c>
      <c r="G136" s="52"/>
      <c r="H136" s="52"/>
    </row>
    <row r="137" spans="1:12" hidden="1" x14ac:dyDescent="0.25">
      <c r="B137" s="47" t="s">
        <v>170</v>
      </c>
      <c r="G137" s="52"/>
      <c r="H137" s="52"/>
    </row>
    <row r="138" spans="1:12" hidden="1" x14ac:dyDescent="0.25">
      <c r="B138" s="47" t="s">
        <v>167</v>
      </c>
      <c r="G138" s="52"/>
      <c r="H138" s="52"/>
    </row>
    <row r="139" spans="1:12" hidden="1" x14ac:dyDescent="0.25">
      <c r="B139" s="47" t="s">
        <v>168</v>
      </c>
      <c r="G139" s="52"/>
      <c r="H139" s="52"/>
    </row>
    <row r="140" spans="1:12" s="5" customFormat="1" x14ac:dyDescent="0.25">
      <c r="B140" s="47" t="s">
        <v>354</v>
      </c>
      <c r="D140" s="52"/>
      <c r="E140" s="52">
        <v>0</v>
      </c>
      <c r="F140" s="52">
        <v>1</v>
      </c>
      <c r="G140" s="44">
        <v>1</v>
      </c>
      <c r="H140" s="44"/>
      <c r="I140" s="6"/>
      <c r="J140" s="6"/>
      <c r="K140" s="6"/>
      <c r="L140" s="6"/>
    </row>
    <row r="141" spans="1:12" s="5" customFormat="1" x14ac:dyDescent="0.25">
      <c r="B141" s="47" t="s">
        <v>349</v>
      </c>
      <c r="D141" s="52"/>
      <c r="E141" s="52">
        <f>'Rates and GI'!$D$72</f>
        <v>50</v>
      </c>
      <c r="F141" s="52">
        <f>'Rates and GI'!$D$72</f>
        <v>50</v>
      </c>
      <c r="G141" s="52">
        <f>'Rates and GI'!$D$72</f>
        <v>50</v>
      </c>
      <c r="H141" s="52">
        <f>'Rates and GI'!$D$72</f>
        <v>50</v>
      </c>
      <c r="I141" s="6"/>
      <c r="J141" s="6"/>
      <c r="K141" s="6"/>
      <c r="L141" s="6"/>
    </row>
    <row r="142" spans="1:12" x14ac:dyDescent="0.25">
      <c r="A142" s="58"/>
      <c r="B142" s="58"/>
      <c r="C142" s="58"/>
      <c r="D142" s="60"/>
      <c r="E142" s="60"/>
      <c r="F142" s="60"/>
      <c r="G142" s="60"/>
      <c r="H142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74"/>
  <sheetViews>
    <sheetView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9" width="9.140625" style="70"/>
    <col min="10" max="16384" width="9.140625" style="6"/>
  </cols>
  <sheetData>
    <row r="1" spans="1:12" s="140" customFormat="1" ht="17.25" x14ac:dyDescent="0.3">
      <c r="A1" s="227">
        <v>16</v>
      </c>
      <c r="B1" s="228" t="s">
        <v>421</v>
      </c>
      <c r="C1" s="227"/>
      <c r="D1" s="229"/>
      <c r="E1" s="229"/>
      <c r="F1" s="229"/>
      <c r="G1" s="230"/>
      <c r="H1" s="230"/>
    </row>
    <row r="3" spans="1:12" s="15" customFormat="1" x14ac:dyDescent="0.25">
      <c r="A3" s="119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  <c r="I3" s="103"/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69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653.15293574999998</v>
      </c>
      <c r="E5" s="52">
        <f>E63</f>
        <v>0</v>
      </c>
      <c r="F5" s="52">
        <f t="shared" ref="F5:H5" si="1">F63</f>
        <v>460.87562500000001</v>
      </c>
      <c r="G5" s="52">
        <f t="shared" si="1"/>
        <v>192.27731074999997</v>
      </c>
      <c r="H5" s="52">
        <f t="shared" si="1"/>
        <v>0</v>
      </c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</row>
    <row r="7" spans="1:12" ht="14.25" thickBot="1" x14ac:dyDescent="0.3">
      <c r="A7" s="13"/>
      <c r="B7" s="13" t="s">
        <v>5</v>
      </c>
      <c r="C7" s="13"/>
      <c r="D7" s="55">
        <f>SUBTOTAL(9,D5:D6)</f>
        <v>653.15293574999998</v>
      </c>
      <c r="E7" s="55">
        <f>SUBTOTAL(9,E5:E6)</f>
        <v>0</v>
      </c>
      <c r="F7" s="55">
        <f>SUBTOTAL(9,F5:F6)</f>
        <v>460.87562500000001</v>
      </c>
      <c r="G7" s="55">
        <f>SUBTOTAL(9,G5:G6)</f>
        <v>192.27731074999997</v>
      </c>
      <c r="H7" s="55">
        <f>SUBTOTAL(9,H5:H6)</f>
        <v>0</v>
      </c>
    </row>
    <row r="8" spans="1:12" ht="5.2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</row>
    <row r="13" spans="1:12" ht="5.25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</row>
    <row r="16" spans="1:12" x14ac:dyDescent="0.25">
      <c r="B16" s="17" t="s">
        <v>73</v>
      </c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</row>
    <row r="18" spans="1:12" ht="6" customHeight="1" x14ac:dyDescent="0.25"/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E107</f>
        <v>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E128</f>
        <v>0</v>
      </c>
      <c r="F26" s="52">
        <f t="shared" ref="F26:H26" si="15">F128</f>
        <v>0</v>
      </c>
      <c r="G26" s="52">
        <f t="shared" si="15"/>
        <v>0</v>
      </c>
      <c r="H26" s="52">
        <f t="shared" si="15"/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0</v>
      </c>
      <c r="E28" s="55">
        <f t="shared" ref="E28:H28" si="16">SUBTOTAL(9,E25:E27)</f>
        <v>0</v>
      </c>
      <c r="F28" s="55">
        <f t="shared" si="16"/>
        <v>0</v>
      </c>
      <c r="G28" s="55">
        <f t="shared" si="16"/>
        <v>0</v>
      </c>
      <c r="H28" s="55">
        <f t="shared" si="16"/>
        <v>0</v>
      </c>
    </row>
    <row r="29" spans="1:12" ht="6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7">SUM(E31:H31)</f>
        <v>0</v>
      </c>
    </row>
    <row r="32" spans="1:12" x14ac:dyDescent="0.25">
      <c r="B32" s="17" t="s">
        <v>26</v>
      </c>
      <c r="D32" s="52">
        <f t="shared" si="17"/>
        <v>0</v>
      </c>
      <c r="E32" s="52">
        <f>E117</f>
        <v>0</v>
      </c>
    </row>
    <row r="33" spans="1:12" x14ac:dyDescent="0.25">
      <c r="B33" s="17" t="s">
        <v>8</v>
      </c>
      <c r="D33" s="52">
        <f t="shared" si="17"/>
        <v>0</v>
      </c>
    </row>
    <row r="34" spans="1:12" x14ac:dyDescent="0.25">
      <c r="B34" s="17" t="s">
        <v>9</v>
      </c>
      <c r="D34" s="52">
        <f t="shared" si="17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8">SUBTOTAL(9,E31:E34)</f>
        <v>0</v>
      </c>
      <c r="F35" s="55">
        <f t="shared" si="18"/>
        <v>0</v>
      </c>
      <c r="G35" s="55">
        <f t="shared" si="18"/>
        <v>0</v>
      </c>
      <c r="H35" s="55">
        <f t="shared" si="18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69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9">SUM(E38:H38)</f>
        <v>0</v>
      </c>
    </row>
    <row r="39" spans="1:12" x14ac:dyDescent="0.25">
      <c r="A39" s="2"/>
      <c r="B39" s="2" t="s">
        <v>18</v>
      </c>
      <c r="C39" s="2"/>
      <c r="D39" s="52">
        <f t="shared" si="19"/>
        <v>0</v>
      </c>
    </row>
    <row r="40" spans="1:12" x14ac:dyDescent="0.25">
      <c r="A40" s="2"/>
      <c r="B40" s="2" t="s">
        <v>19</v>
      </c>
      <c r="C40" s="2"/>
      <c r="D40" s="52">
        <f t="shared" si="19"/>
        <v>0</v>
      </c>
      <c r="E40" s="52">
        <f>E174</f>
        <v>0</v>
      </c>
      <c r="F40" s="52">
        <f t="shared" ref="F40:H40" si="20">F174</f>
        <v>0</v>
      </c>
      <c r="G40" s="52">
        <f t="shared" si="20"/>
        <v>0</v>
      </c>
      <c r="H40" s="52">
        <f t="shared" si="20"/>
        <v>0</v>
      </c>
    </row>
    <row r="41" spans="1:12" x14ac:dyDescent="0.25">
      <c r="A41" s="3"/>
      <c r="B41" s="3" t="s">
        <v>13</v>
      </c>
      <c r="C41" s="3"/>
      <c r="D41" s="52">
        <f t="shared" si="19"/>
        <v>0</v>
      </c>
    </row>
    <row r="42" spans="1:12" x14ac:dyDescent="0.25">
      <c r="A42" s="3"/>
      <c r="B42" s="3" t="s">
        <v>22</v>
      </c>
      <c r="C42" s="3"/>
      <c r="D42" s="52">
        <f t="shared" si="19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21">SUBTOTAL(9,E38:E42)</f>
        <v>0</v>
      </c>
      <c r="F43" s="55">
        <f t="shared" si="21"/>
        <v>0</v>
      </c>
      <c r="G43" s="55">
        <f t="shared" si="21"/>
        <v>0</v>
      </c>
      <c r="H43" s="55">
        <f t="shared" si="21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69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2">SUM(E46:H46)</f>
        <v>0</v>
      </c>
      <c r="E46" s="52">
        <f>E147</f>
        <v>0</v>
      </c>
      <c r="F46" s="52">
        <f t="shared" ref="F46:H46" si="23">F147</f>
        <v>0</v>
      </c>
      <c r="G46" s="52">
        <f t="shared" si="23"/>
        <v>0</v>
      </c>
      <c r="H46" s="52">
        <f t="shared" si="23"/>
        <v>0</v>
      </c>
    </row>
    <row r="47" spans="1:12" x14ac:dyDescent="0.25">
      <c r="A47" s="3"/>
      <c r="B47" s="3" t="s">
        <v>21</v>
      </c>
      <c r="C47" s="3"/>
      <c r="D47" s="52">
        <f t="shared" si="22"/>
        <v>0</v>
      </c>
      <c r="E47" s="52">
        <f>E137</f>
        <v>0</v>
      </c>
      <c r="F47" s="52">
        <f t="shared" ref="F47:H47" si="24">F137</f>
        <v>0</v>
      </c>
      <c r="G47" s="52">
        <f t="shared" si="24"/>
        <v>0</v>
      </c>
      <c r="H47" s="52">
        <f t="shared" si="24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0</v>
      </c>
      <c r="E48" s="55">
        <f>SUBTOTAL(9,E46:E47)</f>
        <v>0</v>
      </c>
      <c r="F48" s="55">
        <f>SUBTOTAL(9,F46:F47)</f>
        <v>0</v>
      </c>
      <c r="G48" s="55">
        <f>SUBTOTAL(9,G46:G47)</f>
        <v>0</v>
      </c>
      <c r="H48" s="55">
        <f>SUBTOTAL(9,H46:H47)</f>
        <v>0</v>
      </c>
    </row>
    <row r="49" spans="1:9" ht="5.25" customHeight="1" x14ac:dyDescent="0.25">
      <c r="A49" s="1"/>
      <c r="B49" s="1"/>
      <c r="C49" s="1"/>
    </row>
    <row r="50" spans="1:9" ht="14.25" thickBot="1" x14ac:dyDescent="0.3">
      <c r="A50" s="56"/>
      <c r="B50" s="56" t="s">
        <v>160</v>
      </c>
      <c r="C50" s="56"/>
      <c r="D50" s="57">
        <f>SUBTOTAL(9,D5:D48)</f>
        <v>653.15293574999998</v>
      </c>
      <c r="E50" s="57">
        <f>SUBTOTAL(9,E5:E48)</f>
        <v>0</v>
      </c>
      <c r="F50" s="57">
        <f>SUBTOTAL(9,F5:F48)</f>
        <v>460.87562500000001</v>
      </c>
      <c r="G50" s="57">
        <f>SUBTOTAL(9,G5:G48)</f>
        <v>192.27731074999997</v>
      </c>
      <c r="H50" s="57">
        <f>SUBTOTAL(9,H5:H48)</f>
        <v>0</v>
      </c>
    </row>
    <row r="51" spans="1:9" ht="14.25" thickBot="1" x14ac:dyDescent="0.3">
      <c r="A51" s="1"/>
      <c r="B51" s="1"/>
      <c r="C51" s="1"/>
      <c r="I51" s="6"/>
    </row>
    <row r="52" spans="1:9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  <c r="I52" s="6"/>
    </row>
    <row r="53" spans="1:9" ht="6.75" customHeight="1" x14ac:dyDescent="0.25">
      <c r="A53" s="1"/>
      <c r="B53" s="1"/>
      <c r="C53" s="1"/>
      <c r="I53" s="6"/>
    </row>
    <row r="54" spans="1:9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9" ht="6.75" customHeight="1" x14ac:dyDescent="0.25">
      <c r="I55" s="6"/>
    </row>
    <row r="56" spans="1:9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9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9" hidden="1" x14ac:dyDescent="0.25">
      <c r="A58" s="9"/>
      <c r="B58" s="9" t="s">
        <v>37</v>
      </c>
      <c r="C58" s="9"/>
      <c r="E58" s="52">
        <v>0</v>
      </c>
    </row>
    <row r="59" spans="1:9" hidden="1" x14ac:dyDescent="0.25">
      <c r="A59" s="9"/>
      <c r="B59" s="9" t="s">
        <v>38</v>
      </c>
      <c r="C59" s="9"/>
      <c r="D59" s="53"/>
      <c r="E59" s="53">
        <v>0</v>
      </c>
    </row>
    <row r="60" spans="1:9" hidden="1" x14ac:dyDescent="0.25">
      <c r="A60" s="9"/>
      <c r="B60" s="9" t="s">
        <v>39</v>
      </c>
      <c r="C60" s="9"/>
      <c r="E60" s="52">
        <v>0</v>
      </c>
    </row>
    <row r="61" spans="1:9" hidden="1" x14ac:dyDescent="0.25">
      <c r="A61" s="9"/>
      <c r="B61" s="9" t="s">
        <v>40</v>
      </c>
      <c r="C61" s="9"/>
      <c r="E61" s="54">
        <v>0</v>
      </c>
    </row>
    <row r="62" spans="1:9" hidden="1" x14ac:dyDescent="0.25">
      <c r="A62" s="9"/>
      <c r="B62" s="9"/>
      <c r="C62" s="9"/>
    </row>
    <row r="63" spans="1:9" s="70" customFormat="1" x14ac:dyDescent="0.25">
      <c r="A63" s="94"/>
      <c r="B63" s="94" t="s">
        <v>23</v>
      </c>
      <c r="C63" s="94"/>
      <c r="D63" s="52"/>
      <c r="E63" s="52">
        <f>E64*E65</f>
        <v>0</v>
      </c>
      <c r="F63" s="52">
        <f t="shared" ref="F63:H63" si="25">F64*F65</f>
        <v>460.87562500000001</v>
      </c>
      <c r="G63" s="52">
        <f t="shared" si="25"/>
        <v>192.27731074999997</v>
      </c>
      <c r="H63" s="52">
        <f t="shared" si="25"/>
        <v>0</v>
      </c>
    </row>
    <row r="64" spans="1:9" s="70" customFormat="1" x14ac:dyDescent="0.25">
      <c r="A64" s="99"/>
      <c r="B64" s="99" t="s">
        <v>129</v>
      </c>
      <c r="C64" s="99" t="s">
        <v>128</v>
      </c>
      <c r="D64" s="52"/>
      <c r="E64" s="52">
        <v>0</v>
      </c>
      <c r="F64" s="52">
        <v>25</v>
      </c>
      <c r="G64" s="52">
        <v>10</v>
      </c>
      <c r="H64" s="52">
        <v>0</v>
      </c>
    </row>
    <row r="65" spans="1:12" s="70" customFormat="1" x14ac:dyDescent="0.25">
      <c r="A65" s="99"/>
      <c r="B65" s="99" t="s">
        <v>41</v>
      </c>
      <c r="C65" s="99"/>
      <c r="D65" s="52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6">F68*F69</f>
        <v>0</v>
      </c>
      <c r="G67" s="52">
        <f t="shared" si="26"/>
        <v>0</v>
      </c>
      <c r="H67" s="52">
        <f t="shared" si="26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70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70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70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70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70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70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70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70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70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70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70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70"/>
      <c r="J85" s="6"/>
      <c r="K85" s="6"/>
      <c r="L85" s="6"/>
    </row>
    <row r="86" spans="1:12" x14ac:dyDescent="0.25">
      <c r="A86" s="58"/>
      <c r="B86" s="58"/>
      <c r="C86" s="58"/>
      <c r="D86" s="60"/>
      <c r="E86" s="60"/>
      <c r="F86" s="60"/>
      <c r="G86" s="60"/>
      <c r="H86" s="60"/>
      <c r="I86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7">F88*F89+F91*F92</f>
        <v>0</v>
      </c>
      <c r="G87" s="60">
        <f t="shared" si="27"/>
        <v>0</v>
      </c>
      <c r="H87" s="60">
        <f t="shared" si="27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70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70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52">
        <v>0</v>
      </c>
      <c r="H91" s="52">
        <v>0</v>
      </c>
      <c r="I91" s="70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70"/>
      <c r="J92" s="6"/>
      <c r="K92" s="6"/>
      <c r="L92" s="6"/>
    </row>
    <row r="93" spans="1:12" hidden="1" x14ac:dyDescent="0.25"/>
    <row r="94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8">F96*F97</f>
        <v>0</v>
      </c>
      <c r="G95" s="60">
        <f t="shared" si="28"/>
        <v>0</v>
      </c>
      <c r="H95" s="60">
        <f t="shared" si="28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70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70"/>
      <c r="J97" s="6"/>
      <c r="K97" s="6"/>
      <c r="L97" s="6"/>
    </row>
    <row r="98" spans="1:12" hidden="1" x14ac:dyDescent="0.25"/>
    <row r="99" spans="1:12" hidden="1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9">F100*F101+F102*F103+F104*F105</f>
        <v>0</v>
      </c>
      <c r="G99" s="60">
        <f t="shared" si="29"/>
        <v>0</v>
      </c>
      <c r="H99" s="60">
        <f t="shared" si="29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30">G88</f>
        <v>0</v>
      </c>
      <c r="H101" s="52">
        <f t="shared" si="30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 t="s">
        <v>272</v>
      </c>
      <c r="C104" s="5" t="s">
        <v>155</v>
      </c>
      <c r="E104" s="52">
        <f>Training!$C$34*(100%-Training!$C$38)</f>
        <v>50</v>
      </c>
      <c r="F104" s="52">
        <f>Training!$C$34*(100%-Training!$C$38)</f>
        <v>50</v>
      </c>
      <c r="G104" s="52">
        <f>Training!$C$34*(100%-Training!$C$38)</f>
        <v>50</v>
      </c>
      <c r="H104" s="52">
        <f>Training!$C$34*(100%-Training!$C$38)</f>
        <v>50</v>
      </c>
    </row>
    <row r="105" spans="1:12" hidden="1" x14ac:dyDescent="0.25">
      <c r="B105" s="45" t="s">
        <v>151</v>
      </c>
      <c r="E105" s="52">
        <v>0</v>
      </c>
      <c r="F105" s="52">
        <v>0</v>
      </c>
      <c r="G105" s="52">
        <v>0</v>
      </c>
      <c r="H105" s="52">
        <v>0</v>
      </c>
    </row>
    <row r="106" spans="1:12" hidden="1" x14ac:dyDescent="0.25">
      <c r="B106" s="45"/>
    </row>
    <row r="107" spans="1:12" hidden="1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31">F108*F109</f>
        <v>0</v>
      </c>
      <c r="G107" s="60">
        <f t="shared" si="31"/>
        <v>0</v>
      </c>
      <c r="H107" s="60">
        <f t="shared" si="31"/>
        <v>0</v>
      </c>
    </row>
    <row r="108" spans="1:12" s="7" customFormat="1" hidden="1" x14ac:dyDescent="0.25">
      <c r="A108" s="5"/>
      <c r="B108" s="45" t="s">
        <v>54</v>
      </c>
      <c r="C108" s="5"/>
      <c r="D108" s="52"/>
      <c r="E108" s="52">
        <v>0</v>
      </c>
      <c r="F108" s="52">
        <v>0</v>
      </c>
      <c r="G108" s="52"/>
      <c r="H108" s="52"/>
      <c r="I108" s="70"/>
      <c r="J108" s="6"/>
      <c r="K108" s="6"/>
      <c r="L108" s="6"/>
    </row>
    <row r="109" spans="1:12" s="7" customFormat="1" hidden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70"/>
      <c r="J109" s="6"/>
      <c r="K109" s="6"/>
      <c r="L109" s="6"/>
    </row>
    <row r="110" spans="1:12" hidden="1" x14ac:dyDescent="0.25"/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70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104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104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104"/>
      <c r="J115" s="50"/>
      <c r="K115" s="50"/>
      <c r="L115" s="50"/>
    </row>
    <row r="116" spans="1:12" hidden="1" x14ac:dyDescent="0.25"/>
    <row r="117" spans="1:12" hidden="1" x14ac:dyDescent="0.25">
      <c r="A117" s="58"/>
      <c r="B117" s="58" t="s">
        <v>26</v>
      </c>
      <c r="C117" s="58"/>
      <c r="D117" s="60"/>
      <c r="E117" s="60">
        <f>E122*E123</f>
        <v>0</v>
      </c>
      <c r="F117" s="60">
        <f>F122*F123</f>
        <v>0</v>
      </c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70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70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70"/>
      <c r="J120" s="6"/>
      <c r="K120" s="6"/>
      <c r="L120" s="6"/>
    </row>
    <row r="121" spans="1:12" s="5" customFormat="1" hidden="1" x14ac:dyDescent="0.25">
      <c r="B121" s="63" t="s">
        <v>62</v>
      </c>
      <c r="D121" s="52"/>
      <c r="E121" s="52"/>
      <c r="F121" s="52"/>
      <c r="G121" s="44"/>
      <c r="H121" s="44"/>
      <c r="I121" s="70"/>
      <c r="J121" s="6"/>
      <c r="K121" s="6"/>
      <c r="L121" s="6"/>
    </row>
    <row r="122" spans="1:12" s="5" customFormat="1" hidden="1" x14ac:dyDescent="0.25">
      <c r="B122" s="47" t="s">
        <v>166</v>
      </c>
      <c r="D122" s="52"/>
      <c r="E122" s="52">
        <f>'Rates and GI'!$D$39</f>
        <v>350</v>
      </c>
      <c r="F122" s="52">
        <f>'Rates and GI'!$D$39</f>
        <v>350</v>
      </c>
      <c r="G122" s="52">
        <f>'Rates and GI'!$D$39</f>
        <v>350</v>
      </c>
      <c r="H122" s="52">
        <f>'Rates and GI'!$D$39</f>
        <v>350</v>
      </c>
      <c r="I122" s="70"/>
      <c r="J122" s="6"/>
      <c r="K122" s="6"/>
      <c r="L122" s="6"/>
    </row>
    <row r="123" spans="1:12" s="5" customFormat="1" hidden="1" x14ac:dyDescent="0.25">
      <c r="B123" s="47" t="s">
        <v>165</v>
      </c>
      <c r="D123" s="52"/>
      <c r="E123" s="52">
        <v>0</v>
      </c>
      <c r="F123" s="52">
        <v>0</v>
      </c>
      <c r="G123" s="44"/>
      <c r="H123" s="44"/>
      <c r="I123" s="70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70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70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70"/>
      <c r="J126" s="6"/>
      <c r="K126" s="6"/>
      <c r="L126" s="6"/>
    </row>
    <row r="127" spans="1:12" hidden="1" x14ac:dyDescent="0.25"/>
    <row r="128" spans="1:12" hidden="1" x14ac:dyDescent="0.25">
      <c r="A128" s="58"/>
      <c r="B128" s="58" t="s">
        <v>25</v>
      </c>
      <c r="C128" s="58"/>
      <c r="D128" s="60"/>
      <c r="E128" s="60">
        <f>E129+E132</f>
        <v>0</v>
      </c>
      <c r="F128" s="60">
        <f t="shared" ref="F128:H128" si="32">F129+F132</f>
        <v>0</v>
      </c>
      <c r="G128" s="60">
        <f t="shared" si="32"/>
        <v>0</v>
      </c>
      <c r="H128" s="60">
        <f t="shared" si="32"/>
        <v>0</v>
      </c>
    </row>
    <row r="129" spans="1:12" s="5" customFormat="1" hidden="1" x14ac:dyDescent="0.25">
      <c r="B129" s="5" t="s">
        <v>281</v>
      </c>
      <c r="D129" s="52"/>
      <c r="E129" s="52"/>
      <c r="F129" s="52">
        <v>0</v>
      </c>
      <c r="G129" s="44"/>
      <c r="H129" s="44"/>
      <c r="I129" s="70"/>
      <c r="J129" s="6"/>
      <c r="K129" s="6"/>
      <c r="L129" s="6"/>
    </row>
    <row r="130" spans="1:12" s="5" customFormat="1" hidden="1" x14ac:dyDescent="0.25">
      <c r="B130" s="47"/>
      <c r="D130" s="52"/>
      <c r="E130" s="52"/>
      <c r="F130" s="52"/>
      <c r="G130" s="44"/>
      <c r="H130" s="44"/>
      <c r="I130" s="70"/>
      <c r="J130" s="6"/>
      <c r="K130" s="6"/>
      <c r="L130" s="6"/>
    </row>
    <row r="131" spans="1:12" s="5" customFormat="1" hidden="1" x14ac:dyDescent="0.25">
      <c r="B131" s="47"/>
      <c r="D131" s="52"/>
      <c r="E131" s="52"/>
      <c r="F131" s="52"/>
      <c r="G131" s="44"/>
      <c r="H131" s="44"/>
      <c r="I131" s="70"/>
      <c r="J131" s="6"/>
      <c r="K131" s="6"/>
      <c r="L131" s="6"/>
    </row>
    <row r="132" spans="1:12" s="5" customFormat="1" hidden="1" x14ac:dyDescent="0.25">
      <c r="B132" s="5" t="s">
        <v>173</v>
      </c>
      <c r="D132" s="52"/>
      <c r="E132" s="52">
        <f>E133+E134*E135</f>
        <v>0</v>
      </c>
      <c r="F132" s="52">
        <f>F133+F134*F135</f>
        <v>0</v>
      </c>
      <c r="G132" s="52">
        <f t="shared" ref="G132:H132" si="33">G133+G134*G135</f>
        <v>0</v>
      </c>
      <c r="H132" s="52">
        <f t="shared" si="33"/>
        <v>0</v>
      </c>
      <c r="I132" s="94"/>
    </row>
    <row r="133" spans="1:12" hidden="1" x14ac:dyDescent="0.25">
      <c r="B133" s="47" t="s">
        <v>172</v>
      </c>
      <c r="F133" s="52">
        <f>'Rates and GI'!D57*0</f>
        <v>0</v>
      </c>
    </row>
    <row r="134" spans="1:12" hidden="1" x14ac:dyDescent="0.25">
      <c r="B134" s="47" t="s">
        <v>178</v>
      </c>
      <c r="E134" s="68">
        <f>'Rates and GI'!$D$59</f>
        <v>0.02</v>
      </c>
      <c r="F134" s="68">
        <f>'Rates and GI'!$D$59</f>
        <v>0.02</v>
      </c>
      <c r="G134" s="68">
        <f>'Rates and GI'!$D$59</f>
        <v>0.02</v>
      </c>
      <c r="H134" s="68">
        <f>'Rates and GI'!$D$59</f>
        <v>0.02</v>
      </c>
    </row>
    <row r="135" spans="1:12" hidden="1" x14ac:dyDescent="0.25">
      <c r="B135" s="47" t="s">
        <v>179</v>
      </c>
      <c r="E135" s="52">
        <v>0</v>
      </c>
      <c r="F135" s="52">
        <v>0</v>
      </c>
      <c r="G135" s="52">
        <v>0</v>
      </c>
      <c r="H135" s="52">
        <v>0</v>
      </c>
    </row>
    <row r="136" spans="1:12" s="5" customFormat="1" hidden="1" x14ac:dyDescent="0.25">
      <c r="B136" s="47"/>
      <c r="D136" s="52"/>
      <c r="E136" s="52"/>
      <c r="F136" s="52"/>
      <c r="G136" s="44"/>
      <c r="H136" s="44"/>
      <c r="I136" s="70"/>
      <c r="J136" s="6"/>
      <c r="K136" s="6"/>
      <c r="L136" s="6"/>
    </row>
    <row r="137" spans="1:12" hidden="1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4">F138*F139+F140*F141++F142*F143+F144*F145</f>
        <v>0</v>
      </c>
      <c r="G137" s="60">
        <f t="shared" si="34"/>
        <v>0</v>
      </c>
      <c r="H137" s="60">
        <f t="shared" si="34"/>
        <v>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hidden="1" x14ac:dyDescent="0.25">
      <c r="B144" s="47" t="s">
        <v>354</v>
      </c>
      <c r="D144" s="52"/>
      <c r="E144" s="52">
        <v>0</v>
      </c>
      <c r="F144" s="52">
        <v>0</v>
      </c>
      <c r="G144" s="52">
        <v>0</v>
      </c>
      <c r="H144" s="52">
        <v>0</v>
      </c>
      <c r="I144" s="70"/>
      <c r="J144" s="6"/>
      <c r="K144" s="6"/>
      <c r="L144" s="6"/>
    </row>
    <row r="145" spans="1:12" s="5" customFormat="1" hidden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70"/>
      <c r="J145" s="6"/>
      <c r="K145" s="6"/>
      <c r="L145" s="6"/>
    </row>
    <row r="146" spans="1:12" hidden="1" x14ac:dyDescent="0.25"/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5">F148+F151+F154+F163+F168</f>
        <v>0</v>
      </c>
      <c r="G147" s="60">
        <f t="shared" si="35"/>
        <v>0</v>
      </c>
      <c r="H147" s="60">
        <f t="shared" si="35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6">H149+H152*H153</f>
        <v>0</v>
      </c>
      <c r="I148" s="94"/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v>0</v>
      </c>
      <c r="G150" s="52">
        <v>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7">F152*F153</f>
        <v>0</v>
      </c>
      <c r="G151" s="52">
        <f t="shared" si="37"/>
        <v>0</v>
      </c>
      <c r="H151" s="52">
        <f t="shared" si="37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8">F155+F159</f>
        <v>0</v>
      </c>
      <c r="G154" s="52">
        <f t="shared" si="38"/>
        <v>0</v>
      </c>
      <c r="H154" s="52">
        <f t="shared" si="38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9">F156*F157</f>
        <v>0</v>
      </c>
      <c r="G155" s="52">
        <f t="shared" si="39"/>
        <v>0</v>
      </c>
      <c r="H155" s="52">
        <f t="shared" si="39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40">F160*F161</f>
        <v>0</v>
      </c>
      <c r="G159" s="52">
        <f t="shared" si="40"/>
        <v>0</v>
      </c>
      <c r="H159" s="52">
        <f t="shared" si="40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1:8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1:8" hidden="1" x14ac:dyDescent="0.25">
      <c r="B162" s="6"/>
    </row>
    <row r="163" spans="1:8" hidden="1" x14ac:dyDescent="0.25">
      <c r="B163" s="5" t="s">
        <v>203</v>
      </c>
      <c r="E163" s="52">
        <f>E164*E165*E166</f>
        <v>0</v>
      </c>
      <c r="F163" s="52">
        <f t="shared" ref="F163:H163" si="41">F164*F165*F166</f>
        <v>0</v>
      </c>
      <c r="G163" s="52">
        <f t="shared" si="41"/>
        <v>0</v>
      </c>
      <c r="H163" s="52">
        <f t="shared" si="41"/>
        <v>0</v>
      </c>
    </row>
    <row r="164" spans="1:8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1:8" hidden="1" x14ac:dyDescent="0.25">
      <c r="B165" s="47" t="s">
        <v>216</v>
      </c>
      <c r="F165" s="52">
        <v>0</v>
      </c>
      <c r="G165" s="52">
        <v>0</v>
      </c>
      <c r="H165" s="52">
        <v>0</v>
      </c>
    </row>
    <row r="166" spans="1:8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1:8" hidden="1" x14ac:dyDescent="0.25"/>
    <row r="168" spans="1:8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1:8" hidden="1" x14ac:dyDescent="0.25">
      <c r="B169" s="47" t="s">
        <v>172</v>
      </c>
      <c r="F169" s="52">
        <f>'Rates and GI'!D57*0</f>
        <v>0</v>
      </c>
    </row>
    <row r="170" spans="1:8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1:8" hidden="1" x14ac:dyDescent="0.25">
      <c r="B171" s="47" t="s">
        <v>179</v>
      </c>
      <c r="F171" s="52">
        <v>0</v>
      </c>
      <c r="G171" s="44">
        <v>0</v>
      </c>
    </row>
    <row r="172" spans="1:8" hidden="1" x14ac:dyDescent="0.25"/>
    <row r="173" spans="1:8" hidden="1" x14ac:dyDescent="0.25"/>
    <row r="174" spans="1:8" hidden="1" x14ac:dyDescent="0.25">
      <c r="A174" s="58"/>
      <c r="B174" s="58" t="s">
        <v>19</v>
      </c>
      <c r="C174" s="58"/>
      <c r="D174" s="60"/>
      <c r="E174" s="60">
        <v>0</v>
      </c>
      <c r="F174" s="60">
        <v>0</v>
      </c>
      <c r="G174" s="60">
        <v>0</v>
      </c>
      <c r="H174" s="60">
        <v>0</v>
      </c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81"/>
  <sheetViews>
    <sheetView zoomScaleNormal="100" zoomScaleSheetLayoutView="40" workbookViewId="0">
      <pane xSplit="2" ySplit="3" topLeftCell="C15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36" customWidth="1"/>
    <col min="5" max="5" width="12" style="36" bestFit="1" customWidth="1"/>
    <col min="6" max="6" width="11.5703125" style="36" bestFit="1" customWidth="1"/>
    <col min="7" max="7" width="10.28515625" style="29" bestFit="1" customWidth="1"/>
    <col min="8" max="8" width="10.42578125" style="29" bestFit="1" customWidth="1"/>
    <col min="9" max="16384" width="9.140625" style="6"/>
  </cols>
  <sheetData>
    <row r="1" spans="1:12" s="140" customFormat="1" ht="17.25" x14ac:dyDescent="0.3">
      <c r="A1" s="227">
        <v>17</v>
      </c>
      <c r="B1" s="228" t="s">
        <v>422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1145.44605</v>
      </c>
      <c r="E5" s="52">
        <f>E68</f>
        <v>371.17500000000001</v>
      </c>
      <c r="F5" s="52">
        <f t="shared" ref="F5:H5" si="1">F68</f>
        <v>774.27104999999995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10594.614492000001</v>
      </c>
      <c r="E6" s="52">
        <f>E72</f>
        <v>3433.1220000000008</v>
      </c>
      <c r="F6" s="52">
        <f t="shared" ref="F6:H6" si="2">F72</f>
        <v>7161.4924920000003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11740.060542000001</v>
      </c>
      <c r="E7" s="55">
        <f>SUBTOTAL(9,E5:E6)</f>
        <v>3804.2970000000009</v>
      </c>
      <c r="F7" s="55">
        <f>SUBTOTAL(9,F5:F6)</f>
        <v>7935.7635420000006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1823.3222366666669</v>
      </c>
      <c r="E10" s="52">
        <f>E92</f>
        <v>1823.3222366666669</v>
      </c>
      <c r="F10" s="52">
        <f t="shared" ref="F10:H10" si="4">F92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1823.3222366666669</v>
      </c>
      <c r="E12" s="55">
        <f t="shared" ref="E12:H12" si="5">SUBTOTAL(9,E10:E11)</f>
        <v>1823.3222366666669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E100</f>
        <v>0</v>
      </c>
      <c r="F15" s="52">
        <f t="shared" ref="F15:H15" si="7">F100</f>
        <v>743.12691355000004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E104</f>
        <v>0</v>
      </c>
      <c r="F20" s="52">
        <f t="shared" ref="F20:H20" si="10">F104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5.25" customHeight="1" x14ac:dyDescent="0.25">
      <c r="D23" s="52"/>
      <c r="E23" s="52"/>
      <c r="F23" s="52"/>
      <c r="G23" s="44"/>
      <c r="H23" s="44"/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522.9</v>
      </c>
      <c r="E25" s="52">
        <f>E110</f>
        <v>210</v>
      </c>
      <c r="F25" s="52">
        <f t="shared" ref="F25:H25" si="13">F110</f>
        <v>312.89999999999998</v>
      </c>
      <c r="G25" s="52">
        <f t="shared" si="13"/>
        <v>0</v>
      </c>
      <c r="H25" s="52">
        <f t="shared" si="13"/>
        <v>0</v>
      </c>
      <c r="I25" s="70"/>
    </row>
    <row r="26" spans="1:12" x14ac:dyDescent="0.25">
      <c r="B26" s="17" t="s">
        <v>25</v>
      </c>
      <c r="D26" s="52">
        <f t="shared" ref="D26" si="14">SUM(E26:H26)</f>
        <v>0</v>
      </c>
      <c r="E26" s="52">
        <f>E135</f>
        <v>0</v>
      </c>
      <c r="F26" s="52">
        <f>F135</f>
        <v>0</v>
      </c>
      <c r="G26" s="52">
        <f>G135</f>
        <v>0</v>
      </c>
      <c r="H26" s="52">
        <f>H135</f>
        <v>0</v>
      </c>
      <c r="I26" s="70"/>
    </row>
    <row r="27" spans="1:12" x14ac:dyDescent="0.25">
      <c r="B27" s="17" t="s">
        <v>432</v>
      </c>
      <c r="D27" s="52"/>
      <c r="E27" s="52"/>
      <c r="F27" s="52"/>
      <c r="G27" s="44"/>
      <c r="H27" s="44"/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522.9</v>
      </c>
      <c r="E28" s="55">
        <f t="shared" ref="E28:H28" si="15">SUBTOTAL(9,E25:E27)</f>
        <v>210</v>
      </c>
      <c r="F28" s="55">
        <f t="shared" si="15"/>
        <v>312.89999999999998</v>
      </c>
      <c r="G28" s="55">
        <f t="shared" si="15"/>
        <v>0</v>
      </c>
      <c r="H28" s="55">
        <f t="shared" si="15"/>
        <v>0</v>
      </c>
      <c r="I28" s="70"/>
    </row>
    <row r="29" spans="1:12" ht="5.25" customHeight="1" x14ac:dyDescent="0.25">
      <c r="D29" s="52"/>
      <c r="E29" s="52"/>
      <c r="F29" s="52"/>
      <c r="G29" s="44"/>
      <c r="H29" s="44"/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1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1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96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96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96"/>
      <c r="D44" s="52"/>
      <c r="E44" s="52"/>
      <c r="F44" s="52"/>
      <c r="G44" s="44"/>
      <c r="H44" s="44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183513.40000000002</v>
      </c>
      <c r="E46" s="52">
        <f>E179</f>
        <v>0</v>
      </c>
      <c r="F46" s="52">
        <f t="shared" ref="F46:H46" si="21">F179</f>
        <v>61171.133333333346</v>
      </c>
      <c r="G46" s="44">
        <f t="shared" si="21"/>
        <v>81561.511111111118</v>
      </c>
      <c r="H46" s="44">
        <f t="shared" si="21"/>
        <v>40780.755555555559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183513.40000000002</v>
      </c>
      <c r="E47" s="55">
        <f t="shared" ref="E47:H47" si="22">SUBTOTAL(9,E46)</f>
        <v>0</v>
      </c>
      <c r="F47" s="55">
        <f t="shared" si="22"/>
        <v>61171.133333333346</v>
      </c>
      <c r="G47" s="55">
        <f t="shared" si="22"/>
        <v>81561.511111111118</v>
      </c>
      <c r="H47" s="55">
        <f t="shared" si="22"/>
        <v>40780.755555555559</v>
      </c>
    </row>
    <row r="48" spans="1:12" ht="6" customHeight="1" x14ac:dyDescent="0.25">
      <c r="A48" s="3"/>
      <c r="B48" s="6"/>
      <c r="C48" s="96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E150</f>
        <v>0</v>
      </c>
      <c r="F50" s="52">
        <f t="shared" ref="F50:H50" si="24">F150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700</v>
      </c>
      <c r="E51" s="52">
        <f>E140</f>
        <v>450</v>
      </c>
      <c r="F51" s="52">
        <f t="shared" ref="F51:H51" si="25">F140</f>
        <v>150</v>
      </c>
      <c r="G51" s="52">
        <f t="shared" si="25"/>
        <v>100</v>
      </c>
      <c r="H51" s="52">
        <f t="shared" si="25"/>
        <v>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700</v>
      </c>
      <c r="E52" s="55">
        <f>SUBTOTAL(9,E50:E51)</f>
        <v>450</v>
      </c>
      <c r="F52" s="55">
        <f>SUBTOTAL(9,F50:F51)</f>
        <v>150</v>
      </c>
      <c r="G52" s="55">
        <f>SUBTOTAL(9,G50:G51)</f>
        <v>100</v>
      </c>
      <c r="H52" s="55">
        <f>SUBTOTAL(9,H50:H51)</f>
        <v>0</v>
      </c>
    </row>
    <row r="53" spans="1:12" ht="8.25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97"/>
      <c r="D54" s="57">
        <f>SUBTOTAL(9,D5:D52)</f>
        <v>199042.80969221669</v>
      </c>
      <c r="E54" s="57">
        <f>SUBTOTAL(9,E5:E52)</f>
        <v>6287.6192366666673</v>
      </c>
      <c r="F54" s="57">
        <f>SUBTOTAL(9,F5:F52)</f>
        <v>70312.923788883345</v>
      </c>
      <c r="G54" s="57">
        <f>SUBTOTAL(9,G5:G52)</f>
        <v>81661.511111111118</v>
      </c>
      <c r="H54" s="57">
        <f>SUBTOTAL(9,H5:H52)</f>
        <v>40780.755555555559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</row>
    <row r="60" spans="1:12" ht="6.75" customHeight="1" x14ac:dyDescent="0.25"/>
    <row r="61" spans="1:12" hidden="1" x14ac:dyDescent="0.25">
      <c r="A61" s="58"/>
      <c r="B61" s="58" t="s">
        <v>0</v>
      </c>
      <c r="C61" s="98"/>
      <c r="D61" s="59"/>
      <c r="E61" s="59"/>
      <c r="F61" s="59"/>
      <c r="G61" s="59"/>
      <c r="H61" s="59"/>
    </row>
    <row r="62" spans="1:12" hidden="1" x14ac:dyDescent="0.25">
      <c r="B62" s="5" t="s">
        <v>2</v>
      </c>
      <c r="E62" s="36">
        <f>E63*E64*E65*E66</f>
        <v>0</v>
      </c>
      <c r="F62" s="36">
        <f t="shared" ref="F62:H62" si="26">F63*F64*F65*F66</f>
        <v>0</v>
      </c>
      <c r="G62" s="36">
        <f t="shared" si="26"/>
        <v>0</v>
      </c>
      <c r="H62" s="36">
        <f t="shared" si="26"/>
        <v>0</v>
      </c>
      <c r="I62" s="70"/>
    </row>
    <row r="63" spans="1:12" hidden="1" x14ac:dyDescent="0.25">
      <c r="A63" s="9"/>
      <c r="B63" s="9" t="s">
        <v>37</v>
      </c>
      <c r="C63" s="99"/>
      <c r="E63" s="36">
        <v>0</v>
      </c>
      <c r="F63" s="36">
        <v>0</v>
      </c>
      <c r="G63" s="36">
        <v>0</v>
      </c>
      <c r="H63" s="36">
        <v>0</v>
      </c>
      <c r="I63" s="70"/>
    </row>
    <row r="64" spans="1:12" hidden="1" x14ac:dyDescent="0.25">
      <c r="A64" s="9"/>
      <c r="B64" s="9" t="s">
        <v>38</v>
      </c>
      <c r="C64" s="99"/>
      <c r="D64" s="37"/>
      <c r="E64" s="37">
        <v>0</v>
      </c>
      <c r="F64" s="77">
        <f>3/22</f>
        <v>0.13636363636363635</v>
      </c>
      <c r="G64" s="77">
        <f t="shared" ref="G64:H64" si="27">3/22</f>
        <v>0.13636363636363635</v>
      </c>
      <c r="H64" s="77">
        <f t="shared" si="27"/>
        <v>0.13636363636363635</v>
      </c>
      <c r="I64" s="70"/>
    </row>
    <row r="65" spans="1:12" hidden="1" x14ac:dyDescent="0.25">
      <c r="A65" s="9"/>
      <c r="B65" s="9" t="s">
        <v>39</v>
      </c>
      <c r="C65" s="99"/>
      <c r="E65" s="36">
        <f>'Rates and GI'!D11</f>
        <v>0</v>
      </c>
      <c r="F65" s="36">
        <f>E65*(1+index)</f>
        <v>0</v>
      </c>
      <c r="G65" s="36">
        <f>F65*(1+index)</f>
        <v>0</v>
      </c>
      <c r="H65" s="36">
        <f>G65*(1+index)</f>
        <v>0</v>
      </c>
      <c r="I65" s="70"/>
    </row>
    <row r="66" spans="1:12" hidden="1" x14ac:dyDescent="0.25">
      <c r="A66" s="9"/>
      <c r="B66" s="9" t="s">
        <v>40</v>
      </c>
      <c r="C66" s="99"/>
      <c r="E66" s="39">
        <v>0</v>
      </c>
      <c r="F66" s="36">
        <v>4</v>
      </c>
      <c r="G66" s="29">
        <v>12</v>
      </c>
      <c r="H66" s="29">
        <v>12</v>
      </c>
      <c r="I66" s="70"/>
    </row>
    <row r="67" spans="1:12" hidden="1" x14ac:dyDescent="0.25">
      <c r="A67" s="9"/>
      <c r="B67" s="9"/>
      <c r="C67" s="99"/>
      <c r="I67" s="70"/>
    </row>
    <row r="68" spans="1:12" x14ac:dyDescent="0.25">
      <c r="B68" s="5" t="s">
        <v>23</v>
      </c>
      <c r="E68" s="52">
        <f>E69*E70</f>
        <v>371.17500000000001</v>
      </c>
      <c r="F68" s="52">
        <f t="shared" ref="F68:H68" si="28">F69*F70</f>
        <v>774.27104999999995</v>
      </c>
      <c r="G68" s="52">
        <f t="shared" si="28"/>
        <v>0</v>
      </c>
      <c r="H68" s="52">
        <f t="shared" si="28"/>
        <v>0</v>
      </c>
      <c r="I68" s="70"/>
    </row>
    <row r="69" spans="1:12" x14ac:dyDescent="0.25">
      <c r="A69" s="9"/>
      <c r="B69" s="9" t="s">
        <v>129</v>
      </c>
      <c r="C69" s="99" t="s">
        <v>128</v>
      </c>
      <c r="E69" s="52">
        <v>21</v>
      </c>
      <c r="F69" s="52">
        <f>21*2</f>
        <v>42</v>
      </c>
      <c r="G69" s="52">
        <v>0</v>
      </c>
      <c r="H69" s="52">
        <v>0</v>
      </c>
      <c r="I69" s="70"/>
    </row>
    <row r="70" spans="1:12" x14ac:dyDescent="0.25">
      <c r="A70" s="9"/>
      <c r="B70" s="9" t="s">
        <v>41</v>
      </c>
      <c r="C70" s="99"/>
      <c r="E70" s="52">
        <f>'Rates and GI'!D12</f>
        <v>17.675000000000001</v>
      </c>
      <c r="F70" s="52">
        <f>E70*(1+index)</f>
        <v>18.435025</v>
      </c>
      <c r="G70" s="52">
        <f>F70*(1+index)</f>
        <v>19.227731074999998</v>
      </c>
      <c r="H70" s="52">
        <f>G70*(1+index)</f>
        <v>20.054523511224996</v>
      </c>
      <c r="I70" s="70"/>
    </row>
    <row r="71" spans="1:12" x14ac:dyDescent="0.25">
      <c r="E71" s="52"/>
      <c r="F71" s="52"/>
      <c r="G71" s="44"/>
      <c r="H71" s="44"/>
      <c r="I71" s="70"/>
    </row>
    <row r="72" spans="1:12" s="7" customFormat="1" x14ac:dyDescent="0.25">
      <c r="A72" s="5"/>
      <c r="B72" s="5" t="s">
        <v>191</v>
      </c>
      <c r="C72" s="94"/>
      <c r="D72" s="36"/>
      <c r="E72" s="52">
        <f>E73*E74</f>
        <v>3433.1220000000008</v>
      </c>
      <c r="F72" s="52">
        <f t="shared" ref="F72:H72" si="29">F73*F74</f>
        <v>7161.4924920000003</v>
      </c>
      <c r="G72" s="52">
        <f t="shared" si="29"/>
        <v>0</v>
      </c>
      <c r="H72" s="52">
        <f t="shared" si="29"/>
        <v>0</v>
      </c>
      <c r="I72" s="70"/>
      <c r="J72" s="6"/>
      <c r="K72" s="6"/>
      <c r="L72" s="6"/>
    </row>
    <row r="73" spans="1:12" s="7" customFormat="1" x14ac:dyDescent="0.25">
      <c r="A73" s="9"/>
      <c r="B73" s="9" t="s">
        <v>193</v>
      </c>
      <c r="C73" s="99" t="s">
        <v>128</v>
      </c>
      <c r="D73" s="36"/>
      <c r="E73" s="52">
        <v>21</v>
      </c>
      <c r="F73" s="52">
        <f>21*2</f>
        <v>42</v>
      </c>
      <c r="G73" s="52">
        <v>0</v>
      </c>
      <c r="H73" s="52">
        <v>0</v>
      </c>
      <c r="I73" s="70"/>
      <c r="J73" s="6"/>
      <c r="K73" s="6"/>
      <c r="L73" s="6"/>
    </row>
    <row r="74" spans="1:12" s="7" customFormat="1" x14ac:dyDescent="0.25">
      <c r="A74" s="9"/>
      <c r="B74" s="9" t="s">
        <v>41</v>
      </c>
      <c r="C74" s="99"/>
      <c r="D74" s="36"/>
      <c r="E74" s="52">
        <f>'Rates and GI'!D13</f>
        <v>163.48200000000003</v>
      </c>
      <c r="F74" s="52">
        <f>E74*(1+index)</f>
        <v>170.51172600000001</v>
      </c>
      <c r="G74" s="52">
        <f>F74*(1+index)</f>
        <v>177.84373021799999</v>
      </c>
      <c r="H74" s="52">
        <f>G74*(1+index)</f>
        <v>185.49101061737397</v>
      </c>
      <c r="I74" s="70"/>
      <c r="J74" s="6"/>
      <c r="K74" s="6"/>
      <c r="L74" s="6"/>
    </row>
    <row r="75" spans="1:12" hidden="1" x14ac:dyDescent="0.25">
      <c r="I75" s="70"/>
    </row>
    <row r="76" spans="1:12" s="7" customFormat="1" hidden="1" x14ac:dyDescent="0.25">
      <c r="A76" s="5"/>
      <c r="B76" s="5" t="s">
        <v>1</v>
      </c>
      <c r="C76" s="94"/>
      <c r="D76" s="36"/>
      <c r="E76" s="36"/>
      <c r="F76" s="36"/>
      <c r="G76" s="29"/>
      <c r="H76" s="29"/>
      <c r="I76" s="70"/>
      <c r="J76" s="6"/>
      <c r="K76" s="6"/>
      <c r="L76" s="6"/>
    </row>
    <row r="77" spans="1:12" s="7" customFormat="1" hidden="1" x14ac:dyDescent="0.25">
      <c r="A77" s="9"/>
      <c r="B77" s="9" t="s">
        <v>42</v>
      </c>
      <c r="C77" s="99"/>
      <c r="D77" s="52"/>
      <c r="E77" s="52">
        <v>0</v>
      </c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43</v>
      </c>
      <c r="C78" s="99"/>
      <c r="D78" s="52"/>
      <c r="E78" s="52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44</v>
      </c>
      <c r="C79" s="99"/>
      <c r="D79" s="52"/>
      <c r="E79" s="52">
        <v>0</v>
      </c>
      <c r="F79" s="36"/>
      <c r="G79" s="29"/>
      <c r="H79" s="29"/>
      <c r="I79" s="6"/>
      <c r="J79" s="6"/>
      <c r="K79" s="6"/>
      <c r="L79" s="6"/>
    </row>
    <row r="80" spans="1:12" s="7" customFormat="1" hidden="1" x14ac:dyDescent="0.25">
      <c r="A80" s="9"/>
      <c r="B80" s="9" t="s">
        <v>45</v>
      </c>
      <c r="C80" s="99"/>
      <c r="D80" s="52"/>
      <c r="E80" s="52">
        <v>0</v>
      </c>
      <c r="F80" s="36"/>
      <c r="G80" s="29"/>
      <c r="H80" s="29"/>
      <c r="I80" s="6"/>
      <c r="J80" s="6"/>
      <c r="K80" s="6"/>
      <c r="L80" s="6"/>
    </row>
    <row r="81" spans="1:12" hidden="1" x14ac:dyDescent="0.25">
      <c r="D81" s="52"/>
      <c r="E81" s="52"/>
    </row>
    <row r="82" spans="1:12" s="7" customFormat="1" hidden="1" x14ac:dyDescent="0.25">
      <c r="A82" s="5"/>
      <c r="B82" s="5" t="s">
        <v>3</v>
      </c>
      <c r="C82" s="94"/>
      <c r="D82" s="52"/>
      <c r="E82" s="52"/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46</v>
      </c>
      <c r="C83" s="99"/>
      <c r="D83" s="52"/>
      <c r="E83" s="52">
        <v>0</v>
      </c>
      <c r="F83" s="36"/>
      <c r="G83" s="29"/>
      <c r="H83" s="29"/>
      <c r="I83" s="6"/>
      <c r="J83" s="6"/>
      <c r="K83" s="6"/>
      <c r="L83" s="6"/>
    </row>
    <row r="84" spans="1:12" s="7" customFormat="1" hidden="1" x14ac:dyDescent="0.25">
      <c r="A84" s="9"/>
      <c r="B84" s="9" t="s">
        <v>47</v>
      </c>
      <c r="C84" s="99"/>
      <c r="D84" s="52"/>
      <c r="E84" s="52">
        <v>0</v>
      </c>
      <c r="F84" s="36"/>
      <c r="G84" s="29"/>
      <c r="H84" s="29"/>
      <c r="I84" s="6"/>
      <c r="J84" s="6"/>
      <c r="K84" s="6"/>
      <c r="L84" s="6"/>
    </row>
    <row r="85" spans="1:12" hidden="1" x14ac:dyDescent="0.25">
      <c r="D85" s="52"/>
      <c r="E85" s="52"/>
    </row>
    <row r="86" spans="1:12" s="7" customFormat="1" hidden="1" x14ac:dyDescent="0.25">
      <c r="A86" s="5"/>
      <c r="B86" s="5" t="s">
        <v>4</v>
      </c>
      <c r="C86" s="94"/>
      <c r="D86" s="52"/>
      <c r="E86" s="52"/>
      <c r="F86" s="36"/>
      <c r="G86" s="29"/>
      <c r="H86" s="29"/>
      <c r="I86" s="6"/>
      <c r="J86" s="6"/>
      <c r="K86" s="6"/>
      <c r="L86" s="6"/>
    </row>
    <row r="87" spans="1:12" s="7" customFormat="1" hidden="1" x14ac:dyDescent="0.25">
      <c r="A87" s="9"/>
      <c r="B87" s="9" t="s">
        <v>48</v>
      </c>
      <c r="C87" s="99"/>
      <c r="D87" s="52"/>
      <c r="E87" s="52">
        <v>0</v>
      </c>
      <c r="F87" s="36"/>
      <c r="G87" s="29"/>
      <c r="H87" s="29"/>
      <c r="I87" s="6"/>
      <c r="J87" s="6"/>
      <c r="K87" s="6"/>
      <c r="L87" s="6"/>
    </row>
    <row r="88" spans="1:12" s="7" customFormat="1" hidden="1" x14ac:dyDescent="0.25">
      <c r="A88" s="9"/>
      <c r="B88" s="9" t="s">
        <v>49</v>
      </c>
      <c r="C88" s="99"/>
      <c r="D88" s="52"/>
      <c r="E88" s="52">
        <v>0</v>
      </c>
      <c r="F88" s="36"/>
      <c r="G88" s="29"/>
      <c r="H88" s="29"/>
      <c r="I88" s="6"/>
      <c r="J88" s="6"/>
      <c r="K88" s="6"/>
      <c r="L88" s="6"/>
    </row>
    <row r="89" spans="1:12" hidden="1" x14ac:dyDescent="0.25">
      <c r="D89" s="52"/>
      <c r="E89" s="52"/>
    </row>
    <row r="90" spans="1:12" s="7" customFormat="1" hidden="1" x14ac:dyDescent="0.25">
      <c r="A90" s="9"/>
      <c r="B90" s="9" t="s">
        <v>40</v>
      </c>
      <c r="C90" s="99"/>
      <c r="D90" s="52"/>
      <c r="E90" s="54"/>
      <c r="F90" s="36"/>
      <c r="G90" s="29"/>
      <c r="H90" s="29"/>
      <c r="I90" s="6"/>
      <c r="J90" s="6"/>
      <c r="K90" s="6"/>
      <c r="L90" s="6"/>
    </row>
    <row r="92" spans="1:12" x14ac:dyDescent="0.25">
      <c r="A92" s="58"/>
      <c r="B92" s="58" t="s">
        <v>10</v>
      </c>
      <c r="C92" s="98"/>
      <c r="D92" s="59"/>
      <c r="E92" s="60">
        <f>E93*E94+E96*E97</f>
        <v>1823.3222366666669</v>
      </c>
      <c r="F92" s="60">
        <f t="shared" ref="F92:H92" si="30">F93*F94+F96*F97</f>
        <v>0</v>
      </c>
      <c r="G92" s="60">
        <f t="shared" si="30"/>
        <v>0</v>
      </c>
      <c r="H92" s="60">
        <f t="shared" si="30"/>
        <v>0</v>
      </c>
    </row>
    <row r="93" spans="1:12" s="7" customFormat="1" x14ac:dyDescent="0.25">
      <c r="A93" s="5"/>
      <c r="B93" s="9" t="s">
        <v>50</v>
      </c>
      <c r="C93" s="94"/>
      <c r="D93" s="36"/>
      <c r="E93" s="52">
        <v>2</v>
      </c>
      <c r="F93" s="52">
        <v>0</v>
      </c>
      <c r="G93" s="52">
        <v>0</v>
      </c>
      <c r="H93" s="52">
        <v>0</v>
      </c>
      <c r="I93" s="6"/>
      <c r="J93" s="6"/>
      <c r="K93" s="6"/>
      <c r="L93" s="6"/>
    </row>
    <row r="94" spans="1:12" s="7" customFormat="1" x14ac:dyDescent="0.25">
      <c r="A94" s="5"/>
      <c r="B94" s="9" t="s">
        <v>51</v>
      </c>
      <c r="C94" s="94"/>
      <c r="D94" s="36"/>
      <c r="E94" s="52">
        <f>Trips!$B$10</f>
        <v>911.66111833333343</v>
      </c>
      <c r="F94" s="52">
        <f>Trips!$B$10</f>
        <v>911.66111833333343</v>
      </c>
      <c r="G94" s="52">
        <f>Trips!$B$10</f>
        <v>911.66111833333343</v>
      </c>
      <c r="H94" s="52">
        <f>Trips!$B$10</f>
        <v>911.66111833333343</v>
      </c>
      <c r="I94" s="6"/>
      <c r="J94" s="6"/>
      <c r="K94" s="6"/>
      <c r="L94" s="6"/>
    </row>
    <row r="95" spans="1:12" hidden="1" x14ac:dyDescent="0.25">
      <c r="E95" s="52"/>
      <c r="F95" s="52"/>
      <c r="G95" s="44"/>
      <c r="H95" s="44"/>
    </row>
    <row r="96" spans="1:12" s="7" customFormat="1" hidden="1" x14ac:dyDescent="0.25">
      <c r="A96" s="5"/>
      <c r="B96" s="9" t="s">
        <v>52</v>
      </c>
      <c r="C96" s="94"/>
      <c r="D96" s="36"/>
      <c r="E96" s="52">
        <v>0</v>
      </c>
      <c r="F96" s="52">
        <v>0</v>
      </c>
      <c r="G96" s="44">
        <v>0</v>
      </c>
      <c r="H96" s="44">
        <v>0</v>
      </c>
      <c r="I96" s="6"/>
      <c r="J96" s="6"/>
      <c r="K96" s="6"/>
      <c r="L96" s="6"/>
    </row>
    <row r="97" spans="1:12" s="7" customFormat="1" hidden="1" x14ac:dyDescent="0.25">
      <c r="A97" s="5"/>
      <c r="B97" s="9" t="s">
        <v>53</v>
      </c>
      <c r="C97" s="94"/>
      <c r="D97" s="36"/>
      <c r="E97" s="52">
        <f>Trips!$B$5</f>
        <v>52</v>
      </c>
      <c r="F97" s="52">
        <f>Trips!$B$5</f>
        <v>52</v>
      </c>
      <c r="G97" s="52">
        <f>Trips!$B$5</f>
        <v>52</v>
      </c>
      <c r="H97" s="52">
        <f>Trips!$B$5</f>
        <v>52</v>
      </c>
      <c r="I97" s="6"/>
      <c r="J97" s="6"/>
      <c r="K97" s="6"/>
      <c r="L97" s="6"/>
    </row>
    <row r="98" spans="1:12" hidden="1" x14ac:dyDescent="0.25">
      <c r="E98" s="52"/>
      <c r="F98" s="52"/>
      <c r="G98" s="44"/>
      <c r="H98" s="44"/>
    </row>
    <row r="99" spans="1:12" x14ac:dyDescent="0.25">
      <c r="E99" s="52"/>
      <c r="F99" s="52"/>
      <c r="G99" s="44"/>
      <c r="H99" s="44"/>
    </row>
    <row r="100" spans="1:12" x14ac:dyDescent="0.25">
      <c r="A100" s="58"/>
      <c r="B100" s="58" t="s">
        <v>194</v>
      </c>
      <c r="C100" s="98"/>
      <c r="D100" s="59"/>
      <c r="E100" s="60">
        <f>E101*E102</f>
        <v>0</v>
      </c>
      <c r="F100" s="60">
        <f t="shared" ref="F100:H100" si="31">F101*F102</f>
        <v>743.12691355000004</v>
      </c>
      <c r="G100" s="60">
        <f t="shared" si="31"/>
        <v>0</v>
      </c>
      <c r="H100" s="60">
        <f t="shared" si="31"/>
        <v>0</v>
      </c>
    </row>
    <row r="101" spans="1:12" s="7" customFormat="1" x14ac:dyDescent="0.25">
      <c r="A101" s="10"/>
      <c r="B101" s="45" t="s">
        <v>162</v>
      </c>
      <c r="C101" s="100" t="s">
        <v>163</v>
      </c>
      <c r="D101" s="36"/>
      <c r="E101" s="52"/>
      <c r="F101" s="52">
        <v>1</v>
      </c>
      <c r="G101" s="52">
        <v>0</v>
      </c>
      <c r="H101" s="52">
        <v>0</v>
      </c>
      <c r="I101" s="6"/>
      <c r="J101" s="6"/>
      <c r="K101" s="6"/>
      <c r="L101" s="6"/>
    </row>
    <row r="102" spans="1:12" s="7" customFormat="1" x14ac:dyDescent="0.25">
      <c r="A102" s="5"/>
      <c r="B102" s="45" t="s">
        <v>159</v>
      </c>
      <c r="C102" s="94"/>
      <c r="D102" s="36"/>
      <c r="E102" s="52">
        <f>Trips!B29</f>
        <v>712.48985000000005</v>
      </c>
      <c r="F102" s="52">
        <f>E102*(1+index)</f>
        <v>743.12691355000004</v>
      </c>
      <c r="G102" s="52">
        <f>F102*(1+index)</f>
        <v>775.08137083265001</v>
      </c>
      <c r="H102" s="52">
        <f>G102*(1+index)</f>
        <v>808.40986977845387</v>
      </c>
      <c r="I102" s="6"/>
      <c r="J102" s="6"/>
      <c r="K102" s="6"/>
      <c r="L102" s="6"/>
    </row>
    <row r="103" spans="1:12" x14ac:dyDescent="0.25">
      <c r="E103" s="52"/>
      <c r="F103" s="52"/>
      <c r="G103" s="44"/>
      <c r="H103" s="44"/>
    </row>
    <row r="104" spans="1:12" hidden="1" x14ac:dyDescent="0.25">
      <c r="A104" s="58"/>
      <c r="B104" s="58" t="s">
        <v>148</v>
      </c>
      <c r="C104" s="98"/>
      <c r="D104" s="59"/>
      <c r="E104" s="60">
        <f>E105*E106+E107*E108</f>
        <v>0</v>
      </c>
      <c r="F104" s="60">
        <f t="shared" ref="F104:H104" si="32">F105*F106+F107*F108</f>
        <v>0</v>
      </c>
      <c r="G104" s="60">
        <f t="shared" si="32"/>
        <v>0</v>
      </c>
      <c r="H104" s="60">
        <f t="shared" si="32"/>
        <v>0</v>
      </c>
    </row>
    <row r="105" spans="1:12" hidden="1" x14ac:dyDescent="0.25">
      <c r="B105" s="45" t="s">
        <v>149</v>
      </c>
      <c r="C105" s="94" t="s">
        <v>150</v>
      </c>
      <c r="E105" s="52"/>
      <c r="F105" s="52">
        <f>Training!$C$31</f>
        <v>81.741000000000014</v>
      </c>
      <c r="G105" s="52">
        <f>Training!$C$31</f>
        <v>81.741000000000014</v>
      </c>
      <c r="H105" s="52">
        <f>Training!$C$31</f>
        <v>81.741000000000014</v>
      </c>
    </row>
    <row r="106" spans="1:12" hidden="1" x14ac:dyDescent="0.25">
      <c r="B106" s="45" t="s">
        <v>151</v>
      </c>
      <c r="E106" s="52"/>
      <c r="F106" s="52">
        <v>0</v>
      </c>
      <c r="G106" s="52">
        <v>0</v>
      </c>
      <c r="H106" s="52">
        <v>0</v>
      </c>
    </row>
    <row r="107" spans="1:12" hidden="1" x14ac:dyDescent="0.25">
      <c r="B107" s="45" t="s">
        <v>152</v>
      </c>
      <c r="E107" s="52"/>
      <c r="F107" s="52">
        <f>Training!C$22</f>
        <v>709.375</v>
      </c>
      <c r="G107" s="52">
        <f>F107*(1+index)</f>
        <v>739.87812499999995</v>
      </c>
      <c r="H107" s="52">
        <f>G107*(1+index)</f>
        <v>771.69288437499995</v>
      </c>
    </row>
    <row r="108" spans="1:12" hidden="1" x14ac:dyDescent="0.25">
      <c r="B108" s="45" t="s">
        <v>153</v>
      </c>
      <c r="E108" s="52">
        <v>0</v>
      </c>
      <c r="F108" s="52">
        <v>0</v>
      </c>
      <c r="G108" s="52">
        <v>0</v>
      </c>
      <c r="H108" s="52">
        <v>0</v>
      </c>
      <c r="I108" s="70"/>
    </row>
    <row r="109" spans="1:12" hidden="1" x14ac:dyDescent="0.25">
      <c r="B109" s="45"/>
      <c r="E109" s="52"/>
      <c r="F109" s="52"/>
      <c r="G109" s="44"/>
      <c r="H109" s="44"/>
      <c r="I109" s="70"/>
    </row>
    <row r="110" spans="1:12" x14ac:dyDescent="0.25">
      <c r="A110" s="58"/>
      <c r="B110" s="58" t="s">
        <v>24</v>
      </c>
      <c r="C110" s="98"/>
      <c r="D110" s="59"/>
      <c r="E110" s="60">
        <f>E111*E112</f>
        <v>210</v>
      </c>
      <c r="F110" s="60">
        <f t="shared" ref="F110:H110" si="33">F111*F112</f>
        <v>312.89999999999998</v>
      </c>
      <c r="G110" s="60">
        <f t="shared" si="33"/>
        <v>0</v>
      </c>
      <c r="H110" s="60">
        <f t="shared" si="33"/>
        <v>0</v>
      </c>
      <c r="I110" s="70"/>
    </row>
    <row r="111" spans="1:12" s="7" customFormat="1" x14ac:dyDescent="0.25">
      <c r="A111" s="5"/>
      <c r="B111" s="45" t="s">
        <v>54</v>
      </c>
      <c r="C111" s="94"/>
      <c r="D111" s="36"/>
      <c r="E111" s="52">
        <v>35</v>
      </c>
      <c r="F111" s="52">
        <v>50</v>
      </c>
      <c r="G111" s="52">
        <v>0</v>
      </c>
      <c r="H111" s="52">
        <v>0</v>
      </c>
      <c r="I111" s="70"/>
      <c r="J111" s="6"/>
      <c r="K111" s="6"/>
      <c r="L111" s="6"/>
    </row>
    <row r="112" spans="1:12" s="7" customFormat="1" x14ac:dyDescent="0.25">
      <c r="A112" s="5"/>
      <c r="B112" s="45" t="s">
        <v>55</v>
      </c>
      <c r="C112" s="94"/>
      <c r="D112" s="36"/>
      <c r="E112" s="52">
        <f>'Rates and GI'!D30</f>
        <v>6</v>
      </c>
      <c r="F112" s="52">
        <f>E112*(1+index)</f>
        <v>6.2579999999999991</v>
      </c>
      <c r="G112" s="52">
        <f>F112*(1+index)</f>
        <v>6.5270939999999991</v>
      </c>
      <c r="H112" s="52">
        <f>G112*(1+index)</f>
        <v>6.8077590419999989</v>
      </c>
      <c r="I112" s="70"/>
      <c r="J112" s="6"/>
      <c r="K112" s="6"/>
      <c r="L112" s="6"/>
    </row>
    <row r="113" spans="1:12" x14ac:dyDescent="0.25">
      <c r="E113" s="52"/>
      <c r="F113" s="52"/>
      <c r="G113" s="44"/>
      <c r="H113" s="44"/>
      <c r="I113" s="70"/>
    </row>
    <row r="114" spans="1:12" hidden="1" x14ac:dyDescent="0.25">
      <c r="A114" s="58"/>
      <c r="B114" s="58" t="s">
        <v>7</v>
      </c>
      <c r="C114" s="98"/>
      <c r="D114" s="59"/>
      <c r="E114" s="59"/>
      <c r="F114" s="59"/>
      <c r="G114" s="59"/>
      <c r="H114" s="59"/>
    </row>
    <row r="115" spans="1:12" s="7" customFormat="1" hidden="1" x14ac:dyDescent="0.25">
      <c r="A115" s="5"/>
      <c r="B115" s="4" t="s">
        <v>58</v>
      </c>
      <c r="C115" s="94"/>
      <c r="D115" s="36"/>
      <c r="E115" s="36"/>
      <c r="F115" s="36"/>
      <c r="G115" s="29"/>
      <c r="H115" s="29"/>
      <c r="I115" s="6"/>
      <c r="J115" s="6"/>
      <c r="K115" s="6"/>
      <c r="L115" s="6"/>
    </row>
    <row r="116" spans="1:12" s="51" customFormat="1" hidden="1" x14ac:dyDescent="0.25">
      <c r="A116" s="46"/>
      <c r="B116" s="47" t="s">
        <v>59</v>
      </c>
      <c r="C116" s="101" t="s">
        <v>56</v>
      </c>
      <c r="D116" s="48"/>
      <c r="E116" s="48"/>
      <c r="F116" s="48"/>
      <c r="G116" s="49"/>
      <c r="H116" s="49"/>
      <c r="I116" s="50"/>
      <c r="J116" s="50"/>
      <c r="K116" s="50"/>
      <c r="L116" s="50"/>
    </row>
    <row r="117" spans="1:12" s="46" customFormat="1" hidden="1" x14ac:dyDescent="0.25">
      <c r="B117" s="47" t="s">
        <v>57</v>
      </c>
      <c r="C117" s="101"/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s="46" customFormat="1" hidden="1" x14ac:dyDescent="0.25">
      <c r="B118" s="47" t="s">
        <v>60</v>
      </c>
      <c r="C118" s="101"/>
      <c r="D118" s="48"/>
      <c r="E118" s="48"/>
      <c r="F118" s="48"/>
      <c r="G118" s="49"/>
      <c r="H118" s="49"/>
      <c r="I118" s="50"/>
      <c r="J118" s="50"/>
      <c r="K118" s="50"/>
      <c r="L118" s="50"/>
    </row>
    <row r="119" spans="1:12" hidden="1" x14ac:dyDescent="0.25"/>
    <row r="120" spans="1:12" hidden="1" x14ac:dyDescent="0.25">
      <c r="A120" s="58"/>
      <c r="B120" s="58" t="s">
        <v>26</v>
      </c>
      <c r="C120" s="98"/>
      <c r="D120" s="59"/>
      <c r="E120" s="59"/>
      <c r="F120" s="59"/>
      <c r="G120" s="59"/>
      <c r="H120" s="59"/>
    </row>
    <row r="121" spans="1:12" s="5" customFormat="1" hidden="1" x14ac:dyDescent="0.25">
      <c r="B121" s="63" t="s">
        <v>61</v>
      </c>
      <c r="C121" s="94"/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C122" s="94"/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C123" s="94"/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63" t="s">
        <v>62</v>
      </c>
      <c r="C124" s="94"/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C125" s="94"/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C126" s="94"/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63" t="s">
        <v>8</v>
      </c>
      <c r="C127" s="94"/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166</v>
      </c>
      <c r="C128" s="94"/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165</v>
      </c>
      <c r="C129" s="94"/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hidden="1" x14ac:dyDescent="0.25"/>
    <row r="131" spans="1:12" hidden="1" x14ac:dyDescent="0.25">
      <c r="A131" s="58"/>
      <c r="B131" s="58" t="s">
        <v>25</v>
      </c>
      <c r="C131" s="98"/>
      <c r="D131" s="59"/>
      <c r="E131" s="59"/>
      <c r="F131" s="59"/>
      <c r="G131" s="59"/>
      <c r="H131" s="59"/>
    </row>
    <row r="132" spans="1:12" s="5" customFormat="1" hidden="1" x14ac:dyDescent="0.25">
      <c r="B132" s="47" t="s">
        <v>64</v>
      </c>
      <c r="C132" s="94"/>
      <c r="D132" s="36"/>
      <c r="E132" s="36"/>
      <c r="F132" s="36"/>
      <c r="G132" s="29"/>
      <c r="H132" s="29"/>
      <c r="I132" s="6"/>
      <c r="J132" s="6"/>
      <c r="K132" s="6"/>
      <c r="L132" s="6"/>
    </row>
    <row r="133" spans="1:12" s="5" customFormat="1" hidden="1" x14ac:dyDescent="0.25">
      <c r="B133" s="47" t="s">
        <v>63</v>
      </c>
      <c r="C133" s="94"/>
      <c r="D133" s="36"/>
      <c r="E133" s="36"/>
      <c r="F133" s="36"/>
      <c r="G133" s="29"/>
      <c r="H133" s="29"/>
      <c r="I133" s="6"/>
      <c r="J133" s="6"/>
      <c r="K133" s="6"/>
      <c r="L133" s="6"/>
    </row>
    <row r="134" spans="1:12" s="5" customFormat="1" hidden="1" x14ac:dyDescent="0.25">
      <c r="B134" s="47" t="s">
        <v>65</v>
      </c>
      <c r="C134" s="94"/>
      <c r="D134" s="36"/>
      <c r="E134" s="52"/>
      <c r="F134" s="52"/>
      <c r="G134" s="44"/>
      <c r="H134" s="44"/>
      <c r="I134" s="6"/>
      <c r="J134" s="6"/>
      <c r="K134" s="6"/>
      <c r="L134" s="6"/>
    </row>
    <row r="135" spans="1:12" s="5" customFormat="1" hidden="1" x14ac:dyDescent="0.25">
      <c r="B135" s="5" t="s">
        <v>173</v>
      </c>
      <c r="C135" s="94"/>
      <c r="D135" s="36"/>
      <c r="E135" s="52">
        <f>E136+E137*E138</f>
        <v>0</v>
      </c>
      <c r="F135" s="52">
        <f t="shared" ref="F135:H135" si="34">F136+F137*F138</f>
        <v>0</v>
      </c>
      <c r="G135" s="52">
        <f t="shared" si="34"/>
        <v>0</v>
      </c>
      <c r="H135" s="52">
        <f t="shared" si="34"/>
        <v>0</v>
      </c>
    </row>
    <row r="136" spans="1:12" hidden="1" x14ac:dyDescent="0.25">
      <c r="B136" s="47" t="s">
        <v>220</v>
      </c>
      <c r="E136" s="52"/>
      <c r="F136" s="52">
        <f>'Rates and GI'!D56*0</f>
        <v>0</v>
      </c>
      <c r="G136" s="44"/>
      <c r="H136" s="44"/>
    </row>
    <row r="137" spans="1:12" hidden="1" x14ac:dyDescent="0.25">
      <c r="B137" s="47" t="s">
        <v>178</v>
      </c>
      <c r="E137" s="68">
        <f>'Rates and GI'!$D$58</f>
        <v>0.05</v>
      </c>
      <c r="F137" s="68">
        <f>'Rates and GI'!$D$58</f>
        <v>0.05</v>
      </c>
      <c r="G137" s="68">
        <f>'Rates and GI'!$D$58</f>
        <v>0.05</v>
      </c>
      <c r="H137" s="68">
        <f>'Rates and GI'!$D$58</f>
        <v>0.05</v>
      </c>
    </row>
    <row r="138" spans="1:12" hidden="1" x14ac:dyDescent="0.25">
      <c r="B138" s="47" t="s">
        <v>179</v>
      </c>
      <c r="E138" s="52">
        <v>0</v>
      </c>
      <c r="F138" s="52">
        <v>0</v>
      </c>
      <c r="G138" s="52">
        <v>0</v>
      </c>
      <c r="H138" s="52">
        <v>0</v>
      </c>
    </row>
    <row r="139" spans="1:12" s="5" customFormat="1" hidden="1" x14ac:dyDescent="0.25">
      <c r="B139" s="47"/>
      <c r="C139" s="94"/>
      <c r="D139" s="36"/>
      <c r="E139" s="52"/>
      <c r="F139" s="52"/>
      <c r="G139" s="44"/>
      <c r="H139" s="44"/>
      <c r="I139" s="6"/>
      <c r="J139" s="6"/>
      <c r="K139" s="6"/>
      <c r="L139" s="6"/>
    </row>
    <row r="140" spans="1:12" x14ac:dyDescent="0.25">
      <c r="A140" s="58"/>
      <c r="B140" s="58" t="s">
        <v>21</v>
      </c>
      <c r="C140" s="98"/>
      <c r="D140" s="59"/>
      <c r="E140" s="60">
        <f>E141*E142+E143*E144++E145*E146+E147*E148</f>
        <v>450</v>
      </c>
      <c r="F140" s="60">
        <f t="shared" ref="F140:H140" si="35">F141*F142+F143*F144++F145*F146+F147*F148</f>
        <v>150</v>
      </c>
      <c r="G140" s="60">
        <f t="shared" si="35"/>
        <v>100</v>
      </c>
      <c r="H140" s="60">
        <f t="shared" si="35"/>
        <v>0</v>
      </c>
    </row>
    <row r="141" spans="1:12" hidden="1" x14ac:dyDescent="0.25">
      <c r="B141" s="47" t="s">
        <v>169</v>
      </c>
      <c r="E141" s="52"/>
      <c r="F141" s="52"/>
      <c r="G141" s="52">
        <v>0</v>
      </c>
      <c r="H141" s="52"/>
    </row>
    <row r="142" spans="1:12" hidden="1" x14ac:dyDescent="0.25">
      <c r="B142" s="47" t="s">
        <v>170</v>
      </c>
      <c r="E142" s="52">
        <f>'Rates and GI'!$D$69</f>
        <v>5000</v>
      </c>
      <c r="F142" s="52">
        <f>'Rates and GI'!$D$69</f>
        <v>5000</v>
      </c>
      <c r="G142" s="52">
        <f>'Rates and GI'!$D$69</f>
        <v>5000</v>
      </c>
      <c r="H142" s="52">
        <f>'Rates and GI'!$D$69</f>
        <v>5000</v>
      </c>
    </row>
    <row r="143" spans="1:12" hidden="1" x14ac:dyDescent="0.25">
      <c r="B143" s="47" t="s">
        <v>167</v>
      </c>
      <c r="E143" s="52"/>
      <c r="F143" s="52">
        <v>0</v>
      </c>
      <c r="G143" s="52">
        <v>0</v>
      </c>
      <c r="H143" s="52">
        <v>0</v>
      </c>
    </row>
    <row r="144" spans="1:12" hidden="1" x14ac:dyDescent="0.25">
      <c r="B144" s="47" t="s">
        <v>168</v>
      </c>
      <c r="E144" s="52">
        <f>'Rates and GI'!$D$70</f>
        <v>1500</v>
      </c>
      <c r="F144" s="52">
        <f>'Rates and GI'!$D$70</f>
        <v>1500</v>
      </c>
      <c r="G144" s="52">
        <f>'Rates and GI'!$D$70</f>
        <v>1500</v>
      </c>
      <c r="H144" s="52">
        <f>'Rates and GI'!$D$70</f>
        <v>1500</v>
      </c>
    </row>
    <row r="145" spans="1:12" x14ac:dyDescent="0.25">
      <c r="B145" s="71" t="s">
        <v>183</v>
      </c>
      <c r="E145" s="52">
        <v>2</v>
      </c>
      <c r="F145" s="52">
        <v>0</v>
      </c>
      <c r="G145" s="52">
        <v>0</v>
      </c>
      <c r="H145" s="52">
        <v>0</v>
      </c>
    </row>
    <row r="146" spans="1:12" ht="27" x14ac:dyDescent="0.25">
      <c r="B146" s="71" t="s">
        <v>182</v>
      </c>
      <c r="E146" s="52">
        <f>'Rates and GI'!$D$71</f>
        <v>200</v>
      </c>
      <c r="F146" s="52">
        <f>'Rates and GI'!$D$71</f>
        <v>200</v>
      </c>
      <c r="G146" s="52">
        <f>'Rates and GI'!$D$71</f>
        <v>200</v>
      </c>
      <c r="H146" s="52">
        <f>'Rates and GI'!$D$71</f>
        <v>200</v>
      </c>
    </row>
    <row r="147" spans="1:12" s="5" customFormat="1" x14ac:dyDescent="0.25">
      <c r="B147" s="47" t="s">
        <v>354</v>
      </c>
      <c r="C147" s="94"/>
      <c r="D147" s="36"/>
      <c r="E147" s="52">
        <v>1</v>
      </c>
      <c r="F147" s="52">
        <v>3</v>
      </c>
      <c r="G147" s="44">
        <v>2</v>
      </c>
      <c r="H147" s="44">
        <v>0</v>
      </c>
      <c r="I147" s="6"/>
      <c r="J147" s="6"/>
      <c r="K147" s="6"/>
      <c r="L147" s="6"/>
    </row>
    <row r="148" spans="1:12" s="5" customFormat="1" x14ac:dyDescent="0.25">
      <c r="B148" s="47" t="s">
        <v>349</v>
      </c>
      <c r="C148" s="94"/>
      <c r="D148" s="36"/>
      <c r="E148" s="52">
        <f>'Rates and GI'!$D$72</f>
        <v>50</v>
      </c>
      <c r="F148" s="52">
        <f>'Rates and GI'!$D$72</f>
        <v>50</v>
      </c>
      <c r="G148" s="52">
        <f>'Rates and GI'!$D$72</f>
        <v>50</v>
      </c>
      <c r="H148" s="52">
        <f>'Rates and GI'!$D$72</f>
        <v>50</v>
      </c>
      <c r="I148" s="6"/>
      <c r="J148" s="6"/>
      <c r="K148" s="6"/>
      <c r="L148" s="6"/>
    </row>
    <row r="149" spans="1:12" hidden="1" x14ac:dyDescent="0.25">
      <c r="E149" s="52"/>
      <c r="F149" s="52"/>
      <c r="G149" s="44"/>
      <c r="H149" s="44"/>
    </row>
    <row r="150" spans="1:12" hidden="1" x14ac:dyDescent="0.25">
      <c r="A150" s="58"/>
      <c r="B150" s="58" t="s">
        <v>218</v>
      </c>
      <c r="C150" s="98"/>
      <c r="D150" s="59"/>
      <c r="E150" s="60">
        <f>E151+E154+E157+E166+E171</f>
        <v>0</v>
      </c>
      <c r="F150" s="60">
        <f t="shared" ref="F150:H150" si="36">F151+F154+F157+F166+F171</f>
        <v>0</v>
      </c>
      <c r="G150" s="60">
        <f t="shared" si="36"/>
        <v>0</v>
      </c>
      <c r="H150" s="60">
        <f t="shared" si="36"/>
        <v>0</v>
      </c>
    </row>
    <row r="151" spans="1:12" s="5" customFormat="1" hidden="1" x14ac:dyDescent="0.25">
      <c r="B151" s="5" t="s">
        <v>197</v>
      </c>
      <c r="C151" s="94"/>
      <c r="D151" s="36"/>
      <c r="E151" s="52">
        <f>E152+E155*E156</f>
        <v>0</v>
      </c>
      <c r="F151" s="52">
        <f>F152+F155*F156</f>
        <v>0</v>
      </c>
      <c r="G151" s="52">
        <f>G152+G155*G156</f>
        <v>0</v>
      </c>
      <c r="H151" s="52">
        <f t="shared" ref="H151" si="37">H152+H155*H156</f>
        <v>0</v>
      </c>
    </row>
    <row r="152" spans="1:12" hidden="1" x14ac:dyDescent="0.25">
      <c r="B152" s="47" t="s">
        <v>208</v>
      </c>
      <c r="E152" s="52"/>
      <c r="F152" s="52">
        <f>('Rates and GI'!$D$56+'Rates and GI'!$D$60)*0</f>
        <v>0</v>
      </c>
      <c r="G152" s="52">
        <f>('Rates and GI'!$D$56+'Rates and GI'!$D$60)*0</f>
        <v>0</v>
      </c>
      <c r="H152" s="52"/>
    </row>
    <row r="153" spans="1:12" hidden="1" x14ac:dyDescent="0.25">
      <c r="B153" s="47" t="s">
        <v>211</v>
      </c>
      <c r="E153" s="52"/>
      <c r="F153" s="52">
        <f>'Rates and GI'!$D$62*0</f>
        <v>0</v>
      </c>
      <c r="G153" s="52">
        <f>'Rates and GI'!$D$62*0</f>
        <v>0</v>
      </c>
      <c r="H153" s="52"/>
    </row>
    <row r="154" spans="1:12" hidden="1" x14ac:dyDescent="0.25">
      <c r="B154" s="5" t="s">
        <v>198</v>
      </c>
      <c r="E154" s="52">
        <f>E155*E156</f>
        <v>0</v>
      </c>
      <c r="F154" s="52">
        <f t="shared" ref="F154:H154" si="38">F155*F156</f>
        <v>0</v>
      </c>
      <c r="G154" s="52">
        <f t="shared" si="38"/>
        <v>0</v>
      </c>
      <c r="H154" s="52">
        <f t="shared" si="38"/>
        <v>0</v>
      </c>
    </row>
    <row r="155" spans="1:12" hidden="1" x14ac:dyDescent="0.25">
      <c r="B155" s="47" t="s">
        <v>186</v>
      </c>
      <c r="E155" s="52"/>
      <c r="F155" s="52">
        <f>'Rates and GI'!$D$65</f>
        <v>24.1465</v>
      </c>
      <c r="G155" s="52">
        <f>'Rates and GI'!$D$65</f>
        <v>24.1465</v>
      </c>
      <c r="H155" s="52">
        <f>'Rates and GI'!$D$65</f>
        <v>24.1465</v>
      </c>
    </row>
    <row r="156" spans="1:12" hidden="1" x14ac:dyDescent="0.25">
      <c r="B156" s="47" t="s">
        <v>185</v>
      </c>
      <c r="E156" s="52"/>
      <c r="F156" s="52">
        <v>0</v>
      </c>
      <c r="G156" s="52">
        <v>0</v>
      </c>
      <c r="H156" s="52">
        <v>0</v>
      </c>
    </row>
    <row r="157" spans="1:12" hidden="1" x14ac:dyDescent="0.25">
      <c r="B157" s="5" t="s">
        <v>199</v>
      </c>
      <c r="E157" s="52">
        <f>E158+E162</f>
        <v>0</v>
      </c>
      <c r="F157" s="52">
        <f t="shared" ref="F157:H157" si="39">F158+F162</f>
        <v>0</v>
      </c>
      <c r="G157" s="52">
        <f t="shared" si="39"/>
        <v>0</v>
      </c>
      <c r="H157" s="52">
        <f t="shared" si="39"/>
        <v>0</v>
      </c>
    </row>
    <row r="158" spans="1:12" hidden="1" x14ac:dyDescent="0.25">
      <c r="B158" s="47" t="s">
        <v>213</v>
      </c>
      <c r="E158" s="52">
        <f>E159*E160</f>
        <v>0</v>
      </c>
      <c r="F158" s="52">
        <f t="shared" ref="F158:H158" si="40">F159*F160</f>
        <v>0</v>
      </c>
      <c r="G158" s="52">
        <f t="shared" si="40"/>
        <v>0</v>
      </c>
      <c r="H158" s="52">
        <f t="shared" si="40"/>
        <v>0</v>
      </c>
    </row>
    <row r="159" spans="1:12" hidden="1" x14ac:dyDescent="0.25">
      <c r="B159" s="47" t="s">
        <v>200</v>
      </c>
      <c r="C159" s="94" t="s">
        <v>201</v>
      </c>
      <c r="E159" s="52">
        <v>0</v>
      </c>
      <c r="F159" s="52">
        <v>0</v>
      </c>
      <c r="G159" s="52">
        <v>0</v>
      </c>
      <c r="H159" s="52">
        <v>0</v>
      </c>
    </row>
    <row r="160" spans="1:12" hidden="1" x14ac:dyDescent="0.25">
      <c r="B160" s="47" t="s">
        <v>202</v>
      </c>
      <c r="E160" s="52">
        <f>'Rates and GI'!$D$63</f>
        <v>150</v>
      </c>
      <c r="F160" s="52">
        <f>'Rates and GI'!$D$63</f>
        <v>150</v>
      </c>
      <c r="G160" s="52">
        <f>'Rates and GI'!$D$63</f>
        <v>150</v>
      </c>
      <c r="H160" s="52">
        <f>'Rates and GI'!$D$63</f>
        <v>150</v>
      </c>
    </row>
    <row r="161" spans="1:8" hidden="1" x14ac:dyDescent="0.25">
      <c r="B161" s="6"/>
      <c r="E161" s="52"/>
      <c r="F161" s="52"/>
      <c r="G161" s="44"/>
      <c r="H161" s="44"/>
    </row>
    <row r="162" spans="1:8" hidden="1" x14ac:dyDescent="0.25">
      <c r="B162" s="47" t="s">
        <v>214</v>
      </c>
      <c r="E162" s="52">
        <f>E163*E164</f>
        <v>0</v>
      </c>
      <c r="F162" s="52">
        <f t="shared" ref="F162:H162" si="41">F163*F164</f>
        <v>0</v>
      </c>
      <c r="G162" s="52">
        <f t="shared" si="41"/>
        <v>0</v>
      </c>
      <c r="H162" s="52">
        <f t="shared" si="41"/>
        <v>0</v>
      </c>
    </row>
    <row r="163" spans="1:8" hidden="1" x14ac:dyDescent="0.25">
      <c r="B163" s="47" t="s">
        <v>200</v>
      </c>
      <c r="C163" s="94" t="s">
        <v>201</v>
      </c>
      <c r="E163" s="52">
        <v>0</v>
      </c>
      <c r="F163" s="52">
        <v>0</v>
      </c>
      <c r="G163" s="52">
        <v>0</v>
      </c>
      <c r="H163" s="52">
        <v>0</v>
      </c>
    </row>
    <row r="164" spans="1:8" hidden="1" x14ac:dyDescent="0.25">
      <c r="B164" s="47" t="s">
        <v>202</v>
      </c>
      <c r="E164" s="52">
        <f>'Rates and GI'!$D$64</f>
        <v>20</v>
      </c>
      <c r="F164" s="52">
        <f>'Rates and GI'!$D$64</f>
        <v>20</v>
      </c>
      <c r="G164" s="52">
        <f>'Rates and GI'!$D$64</f>
        <v>20</v>
      </c>
      <c r="H164" s="52">
        <f>'Rates and GI'!$D$64</f>
        <v>20</v>
      </c>
    </row>
    <row r="165" spans="1:8" hidden="1" x14ac:dyDescent="0.25">
      <c r="B165" s="6"/>
      <c r="E165" s="52"/>
      <c r="F165" s="52"/>
      <c r="G165" s="44"/>
      <c r="H165" s="44"/>
    </row>
    <row r="166" spans="1:8" hidden="1" x14ac:dyDescent="0.25">
      <c r="B166" s="5" t="s">
        <v>203</v>
      </c>
      <c r="E166" s="52">
        <f>E167*E168*E169</f>
        <v>0</v>
      </c>
      <c r="F166" s="52">
        <f t="shared" ref="F166:H166" si="42">F167*F168*F169</f>
        <v>0</v>
      </c>
      <c r="G166" s="52">
        <f t="shared" si="42"/>
        <v>0</v>
      </c>
      <c r="H166" s="52">
        <f t="shared" si="42"/>
        <v>0</v>
      </c>
    </row>
    <row r="167" spans="1:8" hidden="1" x14ac:dyDescent="0.25">
      <c r="B167" s="47" t="s">
        <v>215</v>
      </c>
      <c r="E167" s="52"/>
      <c r="F167" s="52">
        <f>'Rates and GI'!$D$66</f>
        <v>300</v>
      </c>
      <c r="G167" s="52">
        <f>'Rates and GI'!$D$66</f>
        <v>300</v>
      </c>
      <c r="H167" s="52">
        <f>'Rates and GI'!$D$66</f>
        <v>300</v>
      </c>
    </row>
    <row r="168" spans="1:8" hidden="1" x14ac:dyDescent="0.25">
      <c r="B168" s="47" t="s">
        <v>216</v>
      </c>
      <c r="E168" s="52">
        <v>0</v>
      </c>
      <c r="F168" s="52">
        <v>0</v>
      </c>
      <c r="G168" s="52">
        <v>0</v>
      </c>
      <c r="H168" s="52">
        <v>0</v>
      </c>
    </row>
    <row r="169" spans="1:8" hidden="1" x14ac:dyDescent="0.25">
      <c r="B169" s="47" t="s">
        <v>217</v>
      </c>
      <c r="E169" s="52">
        <v>0</v>
      </c>
      <c r="F169" s="52">
        <v>0</v>
      </c>
      <c r="G169" s="52">
        <v>0</v>
      </c>
      <c r="H169" s="52">
        <v>0</v>
      </c>
    </row>
    <row r="170" spans="1:8" hidden="1" x14ac:dyDescent="0.25">
      <c r="E170" s="52"/>
      <c r="F170" s="52"/>
      <c r="G170" s="44"/>
      <c r="H170" s="44"/>
    </row>
    <row r="171" spans="1:8" hidden="1" x14ac:dyDescent="0.25">
      <c r="B171" s="5" t="s">
        <v>196</v>
      </c>
      <c r="E171" s="52">
        <f>E172+E173*E174</f>
        <v>0</v>
      </c>
      <c r="F171" s="52">
        <f>F172+F173*F174</f>
        <v>0</v>
      </c>
      <c r="G171" s="52">
        <f>G172+G173*G174</f>
        <v>0</v>
      </c>
      <c r="H171" s="52">
        <f>H172+H173*H174</f>
        <v>0</v>
      </c>
    </row>
    <row r="172" spans="1:8" hidden="1" x14ac:dyDescent="0.25">
      <c r="B172" s="47" t="s">
        <v>172</v>
      </c>
      <c r="E172" s="52"/>
      <c r="F172" s="52">
        <f>'Rates and GI'!D56*0</f>
        <v>0</v>
      </c>
      <c r="G172" s="44"/>
      <c r="H172" s="44"/>
    </row>
    <row r="173" spans="1:8" hidden="1" x14ac:dyDescent="0.25">
      <c r="B173" s="47" t="s">
        <v>178</v>
      </c>
      <c r="E173" s="52"/>
      <c r="F173" s="75">
        <f>'Rates and GI'!$D$58</f>
        <v>0.05</v>
      </c>
      <c r="G173" s="75">
        <f>'Rates and GI'!$D$58</f>
        <v>0.05</v>
      </c>
      <c r="H173" s="75">
        <f>'Rates and GI'!$D$58</f>
        <v>0.05</v>
      </c>
    </row>
    <row r="174" spans="1:8" hidden="1" x14ac:dyDescent="0.25">
      <c r="B174" s="47" t="s">
        <v>179</v>
      </c>
      <c r="E174" s="52"/>
      <c r="F174" s="52">
        <v>0</v>
      </c>
      <c r="G174" s="44">
        <v>0</v>
      </c>
      <c r="H174" s="44"/>
    </row>
    <row r="175" spans="1:8" x14ac:dyDescent="0.25">
      <c r="E175" s="52"/>
      <c r="F175" s="52"/>
      <c r="G175" s="44"/>
      <c r="H175" s="44"/>
    </row>
    <row r="176" spans="1:8" x14ac:dyDescent="0.25">
      <c r="A176" s="58"/>
      <c r="B176" s="231" t="s">
        <v>429</v>
      </c>
      <c r="C176" s="98"/>
      <c r="D176" s="59"/>
      <c r="E176" s="59"/>
      <c r="F176" s="59"/>
      <c r="G176" s="59"/>
      <c r="H176" s="59"/>
    </row>
    <row r="177" spans="1:12" s="7" customFormat="1" x14ac:dyDescent="0.25">
      <c r="A177" s="10"/>
      <c r="B177" s="45" t="s">
        <v>263</v>
      </c>
      <c r="C177" s="102">
        <f>SUM(E177:H177)</f>
        <v>27</v>
      </c>
      <c r="D177" s="36"/>
      <c r="E177" s="52">
        <v>0</v>
      </c>
      <c r="F177" s="52">
        <v>9</v>
      </c>
      <c r="G177" s="52">
        <v>12</v>
      </c>
      <c r="H177" s="52">
        <v>6</v>
      </c>
      <c r="I177" s="70"/>
      <c r="J177" s="6"/>
      <c r="K177" s="6"/>
      <c r="L177" s="6"/>
    </row>
    <row r="178" spans="1:12" s="7" customFormat="1" x14ac:dyDescent="0.25">
      <c r="A178" s="5"/>
      <c r="B178" s="45" t="s">
        <v>264</v>
      </c>
      <c r="C178" s="52">
        <f>Soft!E11</f>
        <v>183513.40000000002</v>
      </c>
      <c r="D178" s="36"/>
      <c r="E178" s="52"/>
      <c r="F178" s="52"/>
      <c r="G178" s="52"/>
      <c r="H178" s="52"/>
      <c r="I178" s="70"/>
      <c r="J178" s="6"/>
      <c r="K178" s="6"/>
      <c r="L178" s="6"/>
    </row>
    <row r="179" spans="1:12" x14ac:dyDescent="0.25">
      <c r="B179" s="45" t="s">
        <v>265</v>
      </c>
      <c r="E179" s="52">
        <f>$C$178/$C$177*E177</f>
        <v>0</v>
      </c>
      <c r="F179" s="52">
        <f t="shared" ref="F179:H179" si="43">$C$178/$C$177*F177</f>
        <v>61171.133333333346</v>
      </c>
      <c r="G179" s="52">
        <f t="shared" si="43"/>
        <v>81561.511111111118</v>
      </c>
      <c r="H179" s="52">
        <f t="shared" si="43"/>
        <v>40780.755555555559</v>
      </c>
      <c r="I179" s="70"/>
    </row>
    <row r="180" spans="1:12" x14ac:dyDescent="0.25">
      <c r="A180" s="58"/>
      <c r="B180" s="58"/>
      <c r="C180" s="98"/>
      <c r="D180" s="59"/>
      <c r="E180" s="60"/>
      <c r="F180" s="60"/>
      <c r="G180" s="60"/>
      <c r="H180" s="60"/>
    </row>
    <row r="181" spans="1:12" x14ac:dyDescent="0.25">
      <c r="I181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81"/>
  <sheetViews>
    <sheetView zoomScaleNormal="100" workbookViewId="0">
      <pane xSplit="2" ySplit="3" topLeftCell="C14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36" customWidth="1"/>
    <col min="5" max="5" width="12" style="36" bestFit="1" customWidth="1"/>
    <col min="6" max="6" width="11.5703125" style="36" bestFit="1" customWidth="1"/>
    <col min="7" max="7" width="10.28515625" style="29" bestFit="1" customWidth="1"/>
    <col min="8" max="8" width="10.42578125" style="29" bestFit="1" customWidth="1"/>
    <col min="9" max="16384" width="9.140625" style="6"/>
  </cols>
  <sheetData>
    <row r="1" spans="1:12" s="140" customFormat="1" ht="34.5" x14ac:dyDescent="0.3">
      <c r="A1" s="227">
        <v>19</v>
      </c>
      <c r="B1" s="228" t="s">
        <v>336</v>
      </c>
      <c r="C1" s="227"/>
      <c r="D1" s="229"/>
      <c r="E1" s="229"/>
      <c r="F1" s="229"/>
      <c r="G1" s="230"/>
      <c r="H1" s="230"/>
    </row>
    <row r="2" spans="1:12" x14ac:dyDescent="0.25">
      <c r="D2" s="52"/>
      <c r="E2" s="52"/>
      <c r="F2" s="52"/>
      <c r="G2" s="44"/>
      <c r="H2" s="44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1145.44605</v>
      </c>
      <c r="E5" s="52">
        <f>E68</f>
        <v>371.17500000000001</v>
      </c>
      <c r="F5" s="52">
        <f t="shared" ref="F5:H5" si="1">F68</f>
        <v>774.27104999999995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7013.8682460000009</v>
      </c>
      <c r="E6" s="52">
        <f>E72</f>
        <v>3433.1220000000008</v>
      </c>
      <c r="F6" s="52">
        <f t="shared" ref="F6:H6" si="2">F72</f>
        <v>3580.7462460000002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8159.3142960000005</v>
      </c>
      <c r="E7" s="55">
        <f>SUBTOTAL(9,E5:E6)</f>
        <v>3804.2970000000009</v>
      </c>
      <c r="F7" s="55">
        <f>SUBTOTAL(9,F5:F6)</f>
        <v>4355.017296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E92</f>
        <v>0</v>
      </c>
      <c r="F10" s="52">
        <f t="shared" ref="F10:H10" si="4">F92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7.5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E100</f>
        <v>0</v>
      </c>
      <c r="F15" s="52">
        <f t="shared" ref="F15:H15" si="7">F100</f>
        <v>743.12691355000004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E104</f>
        <v>0</v>
      </c>
      <c r="F20" s="52">
        <f t="shared" ref="F20:H20" si="10">F104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6.75" customHeight="1" x14ac:dyDescent="0.25">
      <c r="D23" s="52"/>
      <c r="E23" s="52"/>
      <c r="F23" s="52"/>
      <c r="G23" s="44"/>
      <c r="H23" s="44"/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429.03</v>
      </c>
      <c r="E25" s="52">
        <f>E110</f>
        <v>210</v>
      </c>
      <c r="F25" s="52">
        <f t="shared" ref="F25:H25" si="13">F110</f>
        <v>219.02999999999997</v>
      </c>
      <c r="G25" s="52">
        <f t="shared" si="13"/>
        <v>0</v>
      </c>
      <c r="H25" s="52">
        <f t="shared" si="13"/>
        <v>0</v>
      </c>
      <c r="I25" s="70"/>
    </row>
    <row r="26" spans="1:12" x14ac:dyDescent="0.25">
      <c r="B26" s="17" t="s">
        <v>25</v>
      </c>
      <c r="D26" s="52">
        <f t="shared" ref="D26" si="14">SUM(E26:H26)</f>
        <v>0</v>
      </c>
      <c r="E26" s="52">
        <f>E135</f>
        <v>0</v>
      </c>
      <c r="F26" s="52">
        <f>F135</f>
        <v>0</v>
      </c>
      <c r="G26" s="52">
        <f>G135</f>
        <v>0</v>
      </c>
      <c r="H26" s="52">
        <f>H135</f>
        <v>0</v>
      </c>
      <c r="I26" s="70"/>
    </row>
    <row r="27" spans="1:12" x14ac:dyDescent="0.25">
      <c r="B27" s="17" t="s">
        <v>432</v>
      </c>
      <c r="D27" s="52"/>
      <c r="E27" s="52"/>
      <c r="F27" s="52"/>
      <c r="G27" s="44"/>
      <c r="H27" s="44"/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429.03</v>
      </c>
      <c r="E28" s="55">
        <f t="shared" ref="E28:H28" si="15">SUBTOTAL(9,E25:E27)</f>
        <v>210</v>
      </c>
      <c r="F28" s="55">
        <f t="shared" si="15"/>
        <v>219.02999999999997</v>
      </c>
      <c r="G28" s="55">
        <f t="shared" si="15"/>
        <v>0</v>
      </c>
      <c r="H28" s="55">
        <f t="shared" si="15"/>
        <v>0</v>
      </c>
      <c r="I28" s="70"/>
    </row>
    <row r="29" spans="1:12" ht="5.25" customHeight="1" x14ac:dyDescent="0.25">
      <c r="D29" s="52"/>
      <c r="E29" s="52"/>
      <c r="F29" s="52"/>
      <c r="G29" s="44"/>
      <c r="H29" s="44"/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1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1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96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96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6" customHeight="1" x14ac:dyDescent="0.25">
      <c r="A44" s="3"/>
      <c r="B44" s="6"/>
      <c r="C44" s="96"/>
      <c r="D44" s="52"/>
      <c r="E44" s="52"/>
      <c r="F44" s="52"/>
      <c r="G44" s="44"/>
      <c r="H44" s="44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19317.199999999997</v>
      </c>
      <c r="E46" s="52">
        <f>E179</f>
        <v>0</v>
      </c>
      <c r="F46" s="52">
        <f t="shared" ref="F46:H46" si="21">F179</f>
        <v>0</v>
      </c>
      <c r="G46" s="44">
        <f t="shared" si="21"/>
        <v>11038.4</v>
      </c>
      <c r="H46" s="44">
        <f t="shared" si="21"/>
        <v>8278.7999999999993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19317.199999999997</v>
      </c>
      <c r="E47" s="55">
        <f t="shared" ref="E47:H47" si="22">SUBTOTAL(9,E46)</f>
        <v>0</v>
      </c>
      <c r="F47" s="55">
        <f t="shared" si="22"/>
        <v>0</v>
      </c>
      <c r="G47" s="55">
        <f t="shared" si="22"/>
        <v>11038.4</v>
      </c>
      <c r="H47" s="55">
        <f t="shared" si="22"/>
        <v>8278.7999999999993</v>
      </c>
    </row>
    <row r="48" spans="1:12" ht="4.5" customHeight="1" x14ac:dyDescent="0.25">
      <c r="A48" s="3"/>
      <c r="B48" s="6"/>
      <c r="C48" s="96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E150</f>
        <v>0</v>
      </c>
      <c r="F50" s="52">
        <f t="shared" ref="F50:H50" si="24">F150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700</v>
      </c>
      <c r="E51" s="52">
        <f>E140</f>
        <v>0</v>
      </c>
      <c r="F51" s="52">
        <f t="shared" ref="F51:H51" si="25">F140</f>
        <v>700</v>
      </c>
      <c r="G51" s="52">
        <f t="shared" si="25"/>
        <v>0</v>
      </c>
      <c r="H51" s="52">
        <f t="shared" si="25"/>
        <v>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700</v>
      </c>
      <c r="E52" s="55">
        <f>SUBTOTAL(9,E50:E51)</f>
        <v>0</v>
      </c>
      <c r="F52" s="55">
        <f>SUBTOTAL(9,F50:F51)</f>
        <v>700</v>
      </c>
      <c r="G52" s="55">
        <f>SUBTOTAL(9,G50:G51)</f>
        <v>0</v>
      </c>
      <c r="H52" s="55">
        <f>SUBTOTAL(9,H50:H51)</f>
        <v>0</v>
      </c>
    </row>
    <row r="53" spans="1:12" ht="5.25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97"/>
      <c r="D54" s="57">
        <f>SUBTOTAL(9,D5:D52)</f>
        <v>29348.671209549997</v>
      </c>
      <c r="E54" s="57">
        <f>SUBTOTAL(9,E5:E52)</f>
        <v>4014.2970000000009</v>
      </c>
      <c r="F54" s="57">
        <f>SUBTOTAL(9,F5:F52)</f>
        <v>6017.1742095499994</v>
      </c>
      <c r="G54" s="57">
        <f>SUBTOTAL(9,G5:G52)</f>
        <v>11038.4</v>
      </c>
      <c r="H54" s="57">
        <f>SUBTOTAL(9,H5:H52)</f>
        <v>8278.7999999999993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</row>
    <row r="60" spans="1:12" ht="6.75" hidden="1" customHeight="1" x14ac:dyDescent="0.25"/>
    <row r="61" spans="1:12" hidden="1" x14ac:dyDescent="0.25">
      <c r="A61" s="58"/>
      <c r="B61" s="58" t="s">
        <v>0</v>
      </c>
      <c r="C61" s="98"/>
      <c r="D61" s="59"/>
      <c r="E61" s="59"/>
      <c r="F61" s="59"/>
      <c r="G61" s="59"/>
      <c r="H61" s="59"/>
    </row>
    <row r="62" spans="1:12" hidden="1" x14ac:dyDescent="0.25">
      <c r="B62" s="5" t="s">
        <v>2</v>
      </c>
      <c r="E62" s="52">
        <f>E63*E64*E65*E66</f>
        <v>0</v>
      </c>
      <c r="F62" s="52">
        <f t="shared" ref="F62:H62" si="26">F63*F64*F65*F66</f>
        <v>0</v>
      </c>
      <c r="G62" s="52">
        <f t="shared" si="26"/>
        <v>0</v>
      </c>
      <c r="H62" s="52">
        <f t="shared" si="26"/>
        <v>0</v>
      </c>
      <c r="I62" s="70"/>
    </row>
    <row r="63" spans="1:12" hidden="1" x14ac:dyDescent="0.25">
      <c r="A63" s="9"/>
      <c r="B63" s="9" t="s">
        <v>37</v>
      </c>
      <c r="C63" s="99"/>
      <c r="E63" s="52">
        <v>0</v>
      </c>
      <c r="F63" s="52">
        <v>0</v>
      </c>
      <c r="G63" s="52">
        <v>0</v>
      </c>
      <c r="H63" s="52">
        <v>0</v>
      </c>
      <c r="I63" s="70"/>
    </row>
    <row r="64" spans="1:12" hidden="1" x14ac:dyDescent="0.25">
      <c r="A64" s="9"/>
      <c r="B64" s="9" t="s">
        <v>38</v>
      </c>
      <c r="C64" s="99"/>
      <c r="D64" s="37"/>
      <c r="E64" s="53">
        <v>0</v>
      </c>
      <c r="F64" s="76">
        <f>3/22</f>
        <v>0.13636363636363635</v>
      </c>
      <c r="G64" s="76">
        <f t="shared" ref="G64:H64" si="27">3/22</f>
        <v>0.13636363636363635</v>
      </c>
      <c r="H64" s="76">
        <f t="shared" si="27"/>
        <v>0.13636363636363635</v>
      </c>
      <c r="I64" s="70"/>
    </row>
    <row r="65" spans="1:12" hidden="1" x14ac:dyDescent="0.25">
      <c r="A65" s="9"/>
      <c r="B65" s="9" t="s">
        <v>39</v>
      </c>
      <c r="C65" s="99"/>
      <c r="E65" s="52">
        <f>'Rates and GI'!D11</f>
        <v>0</v>
      </c>
      <c r="F65" s="52">
        <f>E65*(1+index)</f>
        <v>0</v>
      </c>
      <c r="G65" s="52">
        <f>F65*(1+index)</f>
        <v>0</v>
      </c>
      <c r="H65" s="52">
        <f>G65*(1+index)</f>
        <v>0</v>
      </c>
      <c r="I65" s="70"/>
    </row>
    <row r="66" spans="1:12" hidden="1" x14ac:dyDescent="0.25">
      <c r="A66" s="9"/>
      <c r="B66" s="9" t="s">
        <v>40</v>
      </c>
      <c r="C66" s="99"/>
      <c r="E66" s="54">
        <v>0</v>
      </c>
      <c r="F66" s="52">
        <v>4</v>
      </c>
      <c r="G66" s="44">
        <v>12</v>
      </c>
      <c r="H66" s="44">
        <v>12</v>
      </c>
      <c r="I66" s="70"/>
    </row>
    <row r="67" spans="1:12" hidden="1" x14ac:dyDescent="0.25">
      <c r="A67" s="9"/>
      <c r="B67" s="9"/>
      <c r="C67" s="99"/>
      <c r="I67" s="70"/>
    </row>
    <row r="68" spans="1:12" x14ac:dyDescent="0.25">
      <c r="B68" s="5" t="s">
        <v>23</v>
      </c>
      <c r="E68" s="52">
        <f>E69*E70</f>
        <v>371.17500000000001</v>
      </c>
      <c r="F68" s="52">
        <f t="shared" ref="F68:H68" si="28">F69*F70</f>
        <v>774.27104999999995</v>
      </c>
      <c r="G68" s="52">
        <f t="shared" si="28"/>
        <v>0</v>
      </c>
      <c r="H68" s="52">
        <f t="shared" si="28"/>
        <v>0</v>
      </c>
      <c r="I68" s="70"/>
    </row>
    <row r="69" spans="1:12" x14ac:dyDescent="0.25">
      <c r="A69" s="9"/>
      <c r="B69" s="9" t="s">
        <v>129</v>
      </c>
      <c r="C69" s="99" t="s">
        <v>128</v>
      </c>
      <c r="E69" s="52">
        <v>21</v>
      </c>
      <c r="F69" s="52">
        <v>42</v>
      </c>
      <c r="G69" s="52">
        <v>0</v>
      </c>
      <c r="H69" s="52">
        <v>0</v>
      </c>
      <c r="I69" s="70"/>
    </row>
    <row r="70" spans="1:12" x14ac:dyDescent="0.25">
      <c r="A70" s="9"/>
      <c r="B70" s="9" t="s">
        <v>41</v>
      </c>
      <c r="C70" s="99"/>
      <c r="E70" s="52">
        <f>'Rates and GI'!D12</f>
        <v>17.675000000000001</v>
      </c>
      <c r="F70" s="52">
        <f>E70*(1+index)</f>
        <v>18.435025</v>
      </c>
      <c r="G70" s="52">
        <f>F70*(1+index)</f>
        <v>19.227731074999998</v>
      </c>
      <c r="H70" s="52">
        <f>G70*(1+index)</f>
        <v>20.054523511224996</v>
      </c>
      <c r="I70" s="70"/>
    </row>
    <row r="71" spans="1:12" x14ac:dyDescent="0.25">
      <c r="I71" s="70"/>
    </row>
    <row r="72" spans="1:12" s="7" customFormat="1" x14ac:dyDescent="0.25">
      <c r="A72" s="5"/>
      <c r="B72" s="5" t="s">
        <v>191</v>
      </c>
      <c r="C72" s="94"/>
      <c r="D72" s="36"/>
      <c r="E72" s="52">
        <f>E73*E74</f>
        <v>3433.1220000000008</v>
      </c>
      <c r="F72" s="52">
        <f t="shared" ref="F72:H72" si="29">F73*F74</f>
        <v>3580.7462460000002</v>
      </c>
      <c r="G72" s="52">
        <f t="shared" si="29"/>
        <v>0</v>
      </c>
      <c r="H72" s="52">
        <f t="shared" si="29"/>
        <v>0</v>
      </c>
      <c r="I72" s="70"/>
      <c r="J72" s="6"/>
      <c r="K72" s="6"/>
      <c r="L72" s="6"/>
    </row>
    <row r="73" spans="1:12" s="7" customFormat="1" x14ac:dyDescent="0.25">
      <c r="A73" s="9"/>
      <c r="B73" s="9" t="s">
        <v>193</v>
      </c>
      <c r="C73" s="99" t="s">
        <v>128</v>
      </c>
      <c r="D73" s="36"/>
      <c r="E73" s="52">
        <v>21</v>
      </c>
      <c r="F73" s="52">
        <v>21</v>
      </c>
      <c r="G73" s="52">
        <v>0</v>
      </c>
      <c r="H73" s="52">
        <v>0</v>
      </c>
      <c r="I73" s="70"/>
      <c r="J73" s="6"/>
      <c r="K73" s="6"/>
      <c r="L73" s="6"/>
    </row>
    <row r="74" spans="1:12" s="7" customFormat="1" x14ac:dyDescent="0.25">
      <c r="A74" s="9"/>
      <c r="B74" s="9" t="s">
        <v>41</v>
      </c>
      <c r="C74" s="99"/>
      <c r="D74" s="36"/>
      <c r="E74" s="52">
        <f>'Rates and GI'!D13</f>
        <v>163.48200000000003</v>
      </c>
      <c r="F74" s="52">
        <f>E74*(1+index)</f>
        <v>170.51172600000001</v>
      </c>
      <c r="G74" s="52">
        <f>F74*(1+index)</f>
        <v>177.84373021799999</v>
      </c>
      <c r="H74" s="52">
        <f>G74*(1+index)</f>
        <v>185.49101061737397</v>
      </c>
      <c r="I74" s="70"/>
      <c r="J74" s="6"/>
      <c r="K74" s="6"/>
      <c r="L74" s="6"/>
    </row>
    <row r="75" spans="1:12" hidden="1" x14ac:dyDescent="0.25">
      <c r="E75" s="52"/>
      <c r="F75" s="52"/>
      <c r="G75" s="44"/>
      <c r="H75" s="44"/>
      <c r="I75" s="70"/>
    </row>
    <row r="76" spans="1:12" s="7" customFormat="1" hidden="1" x14ac:dyDescent="0.25">
      <c r="A76" s="5"/>
      <c r="B76" s="5" t="s">
        <v>1</v>
      </c>
      <c r="C76" s="94"/>
      <c r="D76" s="36"/>
      <c r="E76" s="36"/>
      <c r="F76" s="36"/>
      <c r="G76" s="29"/>
      <c r="H76" s="29"/>
      <c r="I76" s="70"/>
      <c r="J76" s="6"/>
      <c r="K76" s="6"/>
      <c r="L76" s="6"/>
    </row>
    <row r="77" spans="1:12" s="7" customFormat="1" hidden="1" x14ac:dyDescent="0.25">
      <c r="A77" s="9"/>
      <c r="B77" s="9" t="s">
        <v>42</v>
      </c>
      <c r="C77" s="99"/>
      <c r="D77" s="36"/>
      <c r="E77" s="36">
        <v>0</v>
      </c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43</v>
      </c>
      <c r="C78" s="99"/>
      <c r="D78" s="36"/>
      <c r="E78" s="36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44</v>
      </c>
      <c r="C79" s="99"/>
      <c r="D79" s="36"/>
      <c r="E79" s="36">
        <v>0</v>
      </c>
      <c r="F79" s="36"/>
      <c r="G79" s="29"/>
      <c r="H79" s="29"/>
      <c r="I79" s="6"/>
      <c r="J79" s="6"/>
      <c r="K79" s="6"/>
      <c r="L79" s="6"/>
    </row>
    <row r="80" spans="1:12" s="7" customFormat="1" hidden="1" x14ac:dyDescent="0.25">
      <c r="A80" s="9"/>
      <c r="B80" s="9" t="s">
        <v>45</v>
      </c>
      <c r="C80" s="99"/>
      <c r="D80" s="36"/>
      <c r="E80" s="36">
        <v>0</v>
      </c>
      <c r="F80" s="36"/>
      <c r="G80" s="29"/>
      <c r="H80" s="29"/>
      <c r="I80" s="6"/>
      <c r="J80" s="6"/>
      <c r="K80" s="6"/>
      <c r="L80" s="6"/>
    </row>
    <row r="81" spans="1:12" hidden="1" x14ac:dyDescent="0.25"/>
    <row r="82" spans="1:12" s="7" customFormat="1" hidden="1" x14ac:dyDescent="0.25">
      <c r="A82" s="5"/>
      <c r="B82" s="5" t="s">
        <v>3</v>
      </c>
      <c r="C82" s="94"/>
      <c r="D82" s="36"/>
      <c r="E82" s="36"/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46</v>
      </c>
      <c r="C83" s="99"/>
      <c r="D83" s="36"/>
      <c r="E83" s="36">
        <v>0</v>
      </c>
      <c r="F83" s="36"/>
      <c r="G83" s="29"/>
      <c r="H83" s="29"/>
      <c r="I83" s="6"/>
      <c r="J83" s="6"/>
      <c r="K83" s="6"/>
      <c r="L83" s="6"/>
    </row>
    <row r="84" spans="1:12" s="7" customFormat="1" hidden="1" x14ac:dyDescent="0.25">
      <c r="A84" s="9"/>
      <c r="B84" s="9" t="s">
        <v>47</v>
      </c>
      <c r="C84" s="99"/>
      <c r="D84" s="36"/>
      <c r="E84" s="36">
        <v>0</v>
      </c>
      <c r="F84" s="36"/>
      <c r="G84" s="29"/>
      <c r="H84" s="29"/>
      <c r="I84" s="6"/>
      <c r="J84" s="6"/>
      <c r="K84" s="6"/>
      <c r="L84" s="6"/>
    </row>
    <row r="85" spans="1:12" hidden="1" x14ac:dyDescent="0.25"/>
    <row r="86" spans="1:12" s="7" customFormat="1" hidden="1" x14ac:dyDescent="0.25">
      <c r="A86" s="5"/>
      <c r="B86" s="5" t="s">
        <v>4</v>
      </c>
      <c r="C86" s="94"/>
      <c r="D86" s="36"/>
      <c r="E86" s="36"/>
      <c r="F86" s="36"/>
      <c r="G86" s="29"/>
      <c r="H86" s="29"/>
      <c r="I86" s="6"/>
      <c r="J86" s="6"/>
      <c r="K86" s="6"/>
      <c r="L86" s="6"/>
    </row>
    <row r="87" spans="1:12" s="7" customFormat="1" hidden="1" x14ac:dyDescent="0.25">
      <c r="A87" s="9"/>
      <c r="B87" s="9" t="s">
        <v>48</v>
      </c>
      <c r="C87" s="99"/>
      <c r="D87" s="36"/>
      <c r="E87" s="36">
        <v>0</v>
      </c>
      <c r="F87" s="36"/>
      <c r="G87" s="29"/>
      <c r="H87" s="29"/>
      <c r="I87" s="6"/>
      <c r="J87" s="6"/>
      <c r="K87" s="6"/>
      <c r="L87" s="6"/>
    </row>
    <row r="88" spans="1:12" s="7" customFormat="1" hidden="1" x14ac:dyDescent="0.25">
      <c r="A88" s="9"/>
      <c r="B88" s="9" t="s">
        <v>49</v>
      </c>
      <c r="C88" s="99"/>
      <c r="D88" s="36"/>
      <c r="E88" s="36">
        <v>0</v>
      </c>
      <c r="F88" s="36"/>
      <c r="G88" s="29"/>
      <c r="H88" s="29"/>
      <c r="I88" s="6"/>
      <c r="J88" s="6"/>
      <c r="K88" s="6"/>
      <c r="L88" s="6"/>
    </row>
    <row r="89" spans="1:12" hidden="1" x14ac:dyDescent="0.25"/>
    <row r="90" spans="1:12" s="7" customFormat="1" hidden="1" x14ac:dyDescent="0.25">
      <c r="A90" s="9"/>
      <c r="B90" s="9" t="s">
        <v>40</v>
      </c>
      <c r="C90" s="99"/>
      <c r="D90" s="36"/>
      <c r="E90" s="39"/>
      <c r="F90" s="36"/>
      <c r="G90" s="29"/>
      <c r="H90" s="29"/>
      <c r="I90" s="6"/>
      <c r="J90" s="6"/>
      <c r="K90" s="6"/>
      <c r="L90" s="6"/>
    </row>
    <row r="92" spans="1:12" hidden="1" x14ac:dyDescent="0.25">
      <c r="A92" s="58"/>
      <c r="B92" s="58" t="s">
        <v>10</v>
      </c>
      <c r="C92" s="98"/>
      <c r="D92" s="59"/>
      <c r="E92" s="60">
        <f>E93*E94+E96*E97</f>
        <v>0</v>
      </c>
      <c r="F92" s="60">
        <f t="shared" ref="F92:H92" si="30">F93*F94+F96*F97</f>
        <v>0</v>
      </c>
      <c r="G92" s="60">
        <f t="shared" si="30"/>
        <v>0</v>
      </c>
      <c r="H92" s="60">
        <f t="shared" si="30"/>
        <v>0</v>
      </c>
    </row>
    <row r="93" spans="1:12" s="7" customFormat="1" hidden="1" x14ac:dyDescent="0.25">
      <c r="A93" s="5"/>
      <c r="B93" s="9" t="s">
        <v>50</v>
      </c>
      <c r="C93" s="94"/>
      <c r="D93" s="36"/>
      <c r="E93" s="52">
        <v>0</v>
      </c>
      <c r="F93" s="52">
        <v>0</v>
      </c>
      <c r="G93" s="52">
        <v>0</v>
      </c>
      <c r="H93" s="52">
        <v>0</v>
      </c>
      <c r="I93" s="6"/>
      <c r="J93" s="6"/>
      <c r="K93" s="6"/>
      <c r="L93" s="6"/>
    </row>
    <row r="94" spans="1:12" s="7" customFormat="1" hidden="1" x14ac:dyDescent="0.25">
      <c r="A94" s="5"/>
      <c r="B94" s="9" t="s">
        <v>51</v>
      </c>
      <c r="C94" s="94"/>
      <c r="D94" s="36"/>
      <c r="E94" s="52">
        <f>Trips!$B$10</f>
        <v>911.66111833333343</v>
      </c>
      <c r="F94" s="52">
        <f>Trips!$B$10</f>
        <v>911.66111833333343</v>
      </c>
      <c r="G94" s="52">
        <f>Trips!$B$10</f>
        <v>911.66111833333343</v>
      </c>
      <c r="H94" s="52">
        <f>Trips!$B$10</f>
        <v>911.66111833333343</v>
      </c>
      <c r="I94" s="6"/>
      <c r="J94" s="6"/>
      <c r="K94" s="6"/>
      <c r="L94" s="6"/>
    </row>
    <row r="95" spans="1:12" hidden="1" x14ac:dyDescent="0.25">
      <c r="E95" s="52"/>
      <c r="F95" s="52"/>
      <c r="G95" s="44"/>
      <c r="H95" s="44"/>
    </row>
    <row r="96" spans="1:12" s="7" customFormat="1" hidden="1" x14ac:dyDescent="0.25">
      <c r="A96" s="5"/>
      <c r="B96" s="9" t="s">
        <v>52</v>
      </c>
      <c r="C96" s="94"/>
      <c r="D96" s="36"/>
      <c r="E96" s="52">
        <v>0</v>
      </c>
      <c r="F96" s="52">
        <v>0</v>
      </c>
      <c r="G96" s="44">
        <v>0</v>
      </c>
      <c r="H96" s="44">
        <v>0</v>
      </c>
      <c r="I96" s="6"/>
      <c r="J96" s="6"/>
      <c r="K96" s="6"/>
      <c r="L96" s="6"/>
    </row>
    <row r="97" spans="1:12" s="7" customFormat="1" hidden="1" x14ac:dyDescent="0.25">
      <c r="A97" s="5"/>
      <c r="B97" s="9" t="s">
        <v>53</v>
      </c>
      <c r="C97" s="94"/>
      <c r="D97" s="36"/>
      <c r="E97" s="52">
        <f>Trips!$B$5</f>
        <v>52</v>
      </c>
      <c r="F97" s="52">
        <f>Trips!$B$5</f>
        <v>52</v>
      </c>
      <c r="G97" s="52">
        <f>Trips!$B$5</f>
        <v>52</v>
      </c>
      <c r="H97" s="52">
        <f>Trips!$B$5</f>
        <v>52</v>
      </c>
      <c r="I97" s="6"/>
      <c r="J97" s="6"/>
      <c r="K97" s="6"/>
      <c r="L97" s="6"/>
    </row>
    <row r="98" spans="1:12" hidden="1" x14ac:dyDescent="0.25">
      <c r="E98" s="52"/>
      <c r="F98" s="52"/>
      <c r="G98" s="44"/>
      <c r="H98" s="44"/>
    </row>
    <row r="99" spans="1:12" hidden="1" x14ac:dyDescent="0.25"/>
    <row r="100" spans="1:12" x14ac:dyDescent="0.25">
      <c r="A100" s="58"/>
      <c r="B100" s="58" t="s">
        <v>194</v>
      </c>
      <c r="C100" s="98"/>
      <c r="D100" s="59"/>
      <c r="E100" s="60">
        <f>E101*E102</f>
        <v>0</v>
      </c>
      <c r="F100" s="60">
        <f t="shared" ref="F100:H100" si="31">F101*F102</f>
        <v>743.12691355000004</v>
      </c>
      <c r="G100" s="60">
        <f t="shared" si="31"/>
        <v>0</v>
      </c>
      <c r="H100" s="60">
        <f t="shared" si="31"/>
        <v>0</v>
      </c>
    </row>
    <row r="101" spans="1:12" s="7" customFormat="1" x14ac:dyDescent="0.25">
      <c r="A101" s="10"/>
      <c r="B101" s="45" t="s">
        <v>162</v>
      </c>
      <c r="C101" s="100" t="s">
        <v>163</v>
      </c>
      <c r="D101" s="36"/>
      <c r="E101" s="52">
        <v>0</v>
      </c>
      <c r="F101" s="52">
        <v>1</v>
      </c>
      <c r="G101" s="52">
        <v>0</v>
      </c>
      <c r="H101" s="52">
        <v>0</v>
      </c>
      <c r="I101" s="6"/>
      <c r="J101" s="6"/>
      <c r="K101" s="6"/>
      <c r="L101" s="6"/>
    </row>
    <row r="102" spans="1:12" s="7" customFormat="1" x14ac:dyDescent="0.25">
      <c r="A102" s="5"/>
      <c r="B102" s="45" t="s">
        <v>159</v>
      </c>
      <c r="C102" s="94"/>
      <c r="D102" s="36"/>
      <c r="E102" s="52">
        <f>Trips!B29</f>
        <v>712.48985000000005</v>
      </c>
      <c r="F102" s="52">
        <f>E102*(1+index)</f>
        <v>743.12691355000004</v>
      </c>
      <c r="G102" s="52">
        <f>F102*(1+index)</f>
        <v>775.08137083265001</v>
      </c>
      <c r="H102" s="52">
        <f>G102*(1+index)</f>
        <v>808.40986977845387</v>
      </c>
      <c r="I102" s="6"/>
      <c r="J102" s="6"/>
      <c r="K102" s="6"/>
      <c r="L102" s="6"/>
    </row>
    <row r="103" spans="1:12" x14ac:dyDescent="0.25">
      <c r="E103" s="52"/>
      <c r="F103" s="52"/>
      <c r="G103" s="44"/>
      <c r="H103" s="44"/>
    </row>
    <row r="104" spans="1:12" hidden="1" x14ac:dyDescent="0.25">
      <c r="A104" s="58"/>
      <c r="B104" s="58" t="s">
        <v>148</v>
      </c>
      <c r="C104" s="98"/>
      <c r="D104" s="59"/>
      <c r="E104" s="60">
        <f>E105*E106+E107*E108</f>
        <v>0</v>
      </c>
      <c r="F104" s="60">
        <f t="shared" ref="F104:H104" si="32">F105*F106+F107*F108</f>
        <v>0</v>
      </c>
      <c r="G104" s="60">
        <f t="shared" si="32"/>
        <v>0</v>
      </c>
      <c r="H104" s="60">
        <f t="shared" si="32"/>
        <v>0</v>
      </c>
    </row>
    <row r="105" spans="1:12" hidden="1" x14ac:dyDescent="0.25">
      <c r="B105" s="45" t="s">
        <v>149</v>
      </c>
      <c r="C105" s="94" t="s">
        <v>150</v>
      </c>
      <c r="E105" s="52"/>
      <c r="F105" s="52">
        <f>Training!$C$31</f>
        <v>81.741000000000014</v>
      </c>
      <c r="G105" s="52">
        <f>Training!$C$31</f>
        <v>81.741000000000014</v>
      </c>
      <c r="H105" s="52">
        <f>Training!$C$31</f>
        <v>81.741000000000014</v>
      </c>
    </row>
    <row r="106" spans="1:12" hidden="1" x14ac:dyDescent="0.25">
      <c r="B106" s="45" t="s">
        <v>151</v>
      </c>
      <c r="E106" s="52"/>
      <c r="F106" s="52">
        <v>0</v>
      </c>
      <c r="G106" s="52">
        <v>0</v>
      </c>
      <c r="H106" s="52">
        <v>0</v>
      </c>
    </row>
    <row r="107" spans="1:12" hidden="1" x14ac:dyDescent="0.25">
      <c r="B107" s="45" t="s">
        <v>152</v>
      </c>
      <c r="E107" s="52"/>
      <c r="F107" s="52">
        <f>Training!C$22</f>
        <v>709.375</v>
      </c>
      <c r="G107" s="52">
        <f>F107*(1+index)</f>
        <v>739.87812499999995</v>
      </c>
      <c r="H107" s="52">
        <f>G107*(1+index)</f>
        <v>771.69288437499995</v>
      </c>
    </row>
    <row r="108" spans="1:12" hidden="1" x14ac:dyDescent="0.25">
      <c r="B108" s="45" t="s">
        <v>153</v>
      </c>
      <c r="E108" s="52">
        <v>0</v>
      </c>
      <c r="F108" s="52">
        <v>0</v>
      </c>
      <c r="G108" s="52">
        <v>0</v>
      </c>
      <c r="H108" s="52">
        <v>0</v>
      </c>
      <c r="I108" s="70"/>
    </row>
    <row r="109" spans="1:12" hidden="1" x14ac:dyDescent="0.25">
      <c r="B109" s="45"/>
      <c r="E109" s="52"/>
      <c r="F109" s="52"/>
      <c r="G109" s="44"/>
      <c r="H109" s="44"/>
      <c r="I109" s="70"/>
    </row>
    <row r="110" spans="1:12" x14ac:dyDescent="0.25">
      <c r="A110" s="58"/>
      <c r="B110" s="58" t="s">
        <v>24</v>
      </c>
      <c r="C110" s="98"/>
      <c r="D110" s="59"/>
      <c r="E110" s="60">
        <f>E111*E112</f>
        <v>210</v>
      </c>
      <c r="F110" s="60">
        <f t="shared" ref="F110:H110" si="33">F111*F112</f>
        <v>219.02999999999997</v>
      </c>
      <c r="G110" s="60">
        <f t="shared" si="33"/>
        <v>0</v>
      </c>
      <c r="H110" s="60">
        <f t="shared" si="33"/>
        <v>0</v>
      </c>
      <c r="I110" s="70"/>
    </row>
    <row r="111" spans="1:12" s="7" customFormat="1" x14ac:dyDescent="0.25">
      <c r="A111" s="5"/>
      <c r="B111" s="45" t="s">
        <v>54</v>
      </c>
      <c r="C111" s="94"/>
      <c r="D111" s="36"/>
      <c r="E111" s="52">
        <v>35</v>
      </c>
      <c r="F111" s="52">
        <v>35</v>
      </c>
      <c r="G111" s="52">
        <v>0</v>
      </c>
      <c r="H111" s="52">
        <v>0</v>
      </c>
      <c r="I111" s="70"/>
      <c r="J111" s="6"/>
      <c r="K111" s="6"/>
      <c r="L111" s="6"/>
    </row>
    <row r="112" spans="1:12" s="7" customFormat="1" x14ac:dyDescent="0.25">
      <c r="A112" s="5"/>
      <c r="B112" s="45" t="s">
        <v>55</v>
      </c>
      <c r="C112" s="94"/>
      <c r="D112" s="36"/>
      <c r="E112" s="52">
        <f>'Rates and GI'!D30</f>
        <v>6</v>
      </c>
      <c r="F112" s="52">
        <f>E112*(1+index)</f>
        <v>6.2579999999999991</v>
      </c>
      <c r="G112" s="52">
        <f>F112*(1+index)</f>
        <v>6.5270939999999991</v>
      </c>
      <c r="H112" s="52">
        <f>G112*(1+index)</f>
        <v>6.8077590419999989</v>
      </c>
      <c r="I112" s="70"/>
      <c r="J112" s="6"/>
      <c r="K112" s="6"/>
      <c r="L112" s="6"/>
    </row>
    <row r="113" spans="1:12" x14ac:dyDescent="0.25">
      <c r="E113" s="52"/>
      <c r="F113" s="52"/>
      <c r="G113" s="44"/>
      <c r="H113" s="44"/>
      <c r="I113" s="70"/>
    </row>
    <row r="114" spans="1:12" hidden="1" x14ac:dyDescent="0.25">
      <c r="A114" s="58"/>
      <c r="B114" s="58" t="s">
        <v>7</v>
      </c>
      <c r="C114" s="98"/>
      <c r="D114" s="59"/>
      <c r="E114" s="59"/>
      <c r="F114" s="59"/>
      <c r="G114" s="59"/>
      <c r="H114" s="59"/>
    </row>
    <row r="115" spans="1:12" s="7" customFormat="1" hidden="1" x14ac:dyDescent="0.25">
      <c r="A115" s="5"/>
      <c r="B115" s="4" t="s">
        <v>58</v>
      </c>
      <c r="C115" s="94"/>
      <c r="D115" s="36"/>
      <c r="E115" s="36"/>
      <c r="F115" s="36"/>
      <c r="G115" s="29"/>
      <c r="H115" s="29"/>
      <c r="I115" s="6"/>
      <c r="J115" s="6"/>
      <c r="K115" s="6"/>
      <c r="L115" s="6"/>
    </row>
    <row r="116" spans="1:12" s="51" customFormat="1" hidden="1" x14ac:dyDescent="0.25">
      <c r="A116" s="46"/>
      <c r="B116" s="47" t="s">
        <v>59</v>
      </c>
      <c r="C116" s="101" t="s">
        <v>56</v>
      </c>
      <c r="D116" s="48"/>
      <c r="E116" s="48"/>
      <c r="F116" s="48"/>
      <c r="G116" s="49"/>
      <c r="H116" s="49"/>
      <c r="I116" s="50"/>
      <c r="J116" s="50"/>
      <c r="K116" s="50"/>
      <c r="L116" s="50"/>
    </row>
    <row r="117" spans="1:12" s="46" customFormat="1" hidden="1" x14ac:dyDescent="0.25">
      <c r="B117" s="47" t="s">
        <v>57</v>
      </c>
      <c r="C117" s="101"/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s="46" customFormat="1" hidden="1" x14ac:dyDescent="0.25">
      <c r="B118" s="47" t="s">
        <v>60</v>
      </c>
      <c r="C118" s="101"/>
      <c r="D118" s="48"/>
      <c r="E118" s="48"/>
      <c r="F118" s="48"/>
      <c r="G118" s="49"/>
      <c r="H118" s="49"/>
      <c r="I118" s="50"/>
      <c r="J118" s="50"/>
      <c r="K118" s="50"/>
      <c r="L118" s="50"/>
    </row>
    <row r="119" spans="1:12" hidden="1" x14ac:dyDescent="0.25"/>
    <row r="120" spans="1:12" hidden="1" x14ac:dyDescent="0.25">
      <c r="A120" s="58"/>
      <c r="B120" s="58" t="s">
        <v>26</v>
      </c>
      <c r="C120" s="98"/>
      <c r="D120" s="59"/>
      <c r="E120" s="59"/>
      <c r="F120" s="59"/>
      <c r="G120" s="59"/>
      <c r="H120" s="59"/>
    </row>
    <row r="121" spans="1:12" s="5" customFormat="1" hidden="1" x14ac:dyDescent="0.25">
      <c r="B121" s="63" t="s">
        <v>61</v>
      </c>
      <c r="C121" s="94"/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C122" s="94"/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C123" s="94"/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63" t="s">
        <v>62</v>
      </c>
      <c r="C124" s="94"/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C125" s="94"/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C126" s="94"/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63" t="s">
        <v>8</v>
      </c>
      <c r="C127" s="94"/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166</v>
      </c>
      <c r="C128" s="94"/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165</v>
      </c>
      <c r="C129" s="94"/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hidden="1" x14ac:dyDescent="0.25"/>
    <row r="131" spans="1:12" hidden="1" x14ac:dyDescent="0.25">
      <c r="A131" s="58"/>
      <c r="B131" s="58" t="s">
        <v>25</v>
      </c>
      <c r="C131" s="98"/>
      <c r="D131" s="59"/>
      <c r="E131" s="59"/>
      <c r="F131" s="59"/>
      <c r="G131" s="59"/>
      <c r="H131" s="59"/>
    </row>
    <row r="132" spans="1:12" s="5" customFormat="1" hidden="1" x14ac:dyDescent="0.25">
      <c r="B132" s="47" t="s">
        <v>64</v>
      </c>
      <c r="C132" s="94"/>
      <c r="D132" s="36"/>
      <c r="E132" s="36"/>
      <c r="F132" s="36"/>
      <c r="G132" s="29"/>
      <c r="H132" s="29"/>
      <c r="I132" s="6"/>
      <c r="J132" s="6"/>
      <c r="K132" s="6"/>
      <c r="L132" s="6"/>
    </row>
    <row r="133" spans="1:12" s="5" customFormat="1" hidden="1" x14ac:dyDescent="0.25">
      <c r="B133" s="47" t="s">
        <v>63</v>
      </c>
      <c r="C133" s="94"/>
      <c r="D133" s="36"/>
      <c r="E133" s="36"/>
      <c r="F133" s="36"/>
      <c r="G133" s="29"/>
      <c r="H133" s="29"/>
      <c r="I133" s="6"/>
      <c r="J133" s="6"/>
      <c r="K133" s="6"/>
      <c r="L133" s="6"/>
    </row>
    <row r="134" spans="1:12" s="5" customFormat="1" hidden="1" x14ac:dyDescent="0.25">
      <c r="B134" s="47" t="s">
        <v>65</v>
      </c>
      <c r="C134" s="94"/>
      <c r="D134" s="36"/>
      <c r="E134" s="36"/>
      <c r="F134" s="36"/>
      <c r="G134" s="29"/>
      <c r="H134" s="29"/>
      <c r="I134" s="6"/>
      <c r="J134" s="6"/>
      <c r="K134" s="6"/>
      <c r="L134" s="6"/>
    </row>
    <row r="135" spans="1:12" s="5" customFormat="1" hidden="1" x14ac:dyDescent="0.25">
      <c r="B135" s="5" t="s">
        <v>173</v>
      </c>
      <c r="C135" s="94"/>
      <c r="D135" s="36"/>
      <c r="E135" s="52">
        <f>E136+E137*E138</f>
        <v>0</v>
      </c>
      <c r="F135" s="52">
        <f t="shared" ref="F135:H135" si="34">F136+F137*F138</f>
        <v>0</v>
      </c>
      <c r="G135" s="52">
        <f t="shared" si="34"/>
        <v>0</v>
      </c>
      <c r="H135" s="52">
        <f t="shared" si="34"/>
        <v>0</v>
      </c>
    </row>
    <row r="136" spans="1:12" hidden="1" x14ac:dyDescent="0.25">
      <c r="B136" s="47" t="s">
        <v>220</v>
      </c>
      <c r="E136" s="52"/>
      <c r="F136" s="52">
        <f>'Rates and GI'!D56*0</f>
        <v>0</v>
      </c>
      <c r="G136" s="44"/>
      <c r="H136" s="44"/>
    </row>
    <row r="137" spans="1:12" hidden="1" x14ac:dyDescent="0.25">
      <c r="B137" s="47" t="s">
        <v>178</v>
      </c>
      <c r="E137" s="68">
        <f>'Rates and GI'!$D$58</f>
        <v>0.05</v>
      </c>
      <c r="F137" s="68">
        <f>'Rates and GI'!$D$58</f>
        <v>0.05</v>
      </c>
      <c r="G137" s="68">
        <f>'Rates and GI'!$D$58</f>
        <v>0.05</v>
      </c>
      <c r="H137" s="68">
        <f>'Rates and GI'!$D$58</f>
        <v>0.05</v>
      </c>
    </row>
    <row r="138" spans="1:12" hidden="1" x14ac:dyDescent="0.25">
      <c r="B138" s="47" t="s">
        <v>179</v>
      </c>
      <c r="E138" s="52">
        <v>0</v>
      </c>
      <c r="F138" s="52">
        <v>0</v>
      </c>
      <c r="G138" s="52">
        <v>0</v>
      </c>
      <c r="H138" s="52">
        <v>0</v>
      </c>
    </row>
    <row r="139" spans="1:12" s="5" customFormat="1" hidden="1" x14ac:dyDescent="0.25">
      <c r="B139" s="47"/>
      <c r="C139" s="94"/>
      <c r="D139" s="36"/>
      <c r="E139" s="52"/>
      <c r="F139" s="52"/>
      <c r="G139" s="44"/>
      <c r="H139" s="44"/>
      <c r="I139" s="6"/>
      <c r="J139" s="6"/>
      <c r="K139" s="6"/>
      <c r="L139" s="6"/>
    </row>
    <row r="140" spans="1:12" x14ac:dyDescent="0.25">
      <c r="A140" s="58"/>
      <c r="B140" s="58" t="s">
        <v>21</v>
      </c>
      <c r="C140" s="98"/>
      <c r="D140" s="59"/>
      <c r="E140" s="60">
        <f>E141*E142+E143*E144++E145*E146+E147*E148</f>
        <v>0</v>
      </c>
      <c r="F140" s="60">
        <f t="shared" ref="F140:H140" si="35">F141*F142+F143*F144++F145*F146+F147*F148</f>
        <v>700</v>
      </c>
      <c r="G140" s="60">
        <f t="shared" si="35"/>
        <v>0</v>
      </c>
      <c r="H140" s="60">
        <f t="shared" si="35"/>
        <v>0</v>
      </c>
    </row>
    <row r="141" spans="1:12" hidden="1" x14ac:dyDescent="0.25">
      <c r="B141" s="47" t="s">
        <v>169</v>
      </c>
      <c r="E141" s="52"/>
      <c r="F141" s="52"/>
      <c r="G141" s="52">
        <v>0</v>
      </c>
      <c r="H141" s="52"/>
    </row>
    <row r="142" spans="1:12" hidden="1" x14ac:dyDescent="0.25">
      <c r="B142" s="47" t="s">
        <v>170</v>
      </c>
      <c r="E142" s="52">
        <f>'Rates and GI'!$D$69</f>
        <v>5000</v>
      </c>
      <c r="F142" s="52">
        <f>'Rates and GI'!$D$69</f>
        <v>5000</v>
      </c>
      <c r="G142" s="52">
        <f>'Rates and GI'!$D$69</f>
        <v>5000</v>
      </c>
      <c r="H142" s="52">
        <f>'Rates and GI'!$D$69</f>
        <v>5000</v>
      </c>
    </row>
    <row r="143" spans="1:12" hidden="1" x14ac:dyDescent="0.25">
      <c r="B143" s="47" t="s">
        <v>167</v>
      </c>
      <c r="E143" s="52"/>
      <c r="F143" s="52">
        <v>0</v>
      </c>
      <c r="G143" s="52">
        <v>0</v>
      </c>
      <c r="H143" s="52">
        <v>0</v>
      </c>
    </row>
    <row r="144" spans="1:12" hidden="1" x14ac:dyDescent="0.25">
      <c r="B144" s="47" t="s">
        <v>168</v>
      </c>
      <c r="E144" s="52">
        <f>'Rates and GI'!$D$70</f>
        <v>1500</v>
      </c>
      <c r="F144" s="52">
        <f>'Rates and GI'!$D$70</f>
        <v>1500</v>
      </c>
      <c r="G144" s="52">
        <f>'Rates and GI'!$D$70</f>
        <v>1500</v>
      </c>
      <c r="H144" s="52">
        <f>'Rates and GI'!$D$70</f>
        <v>1500</v>
      </c>
    </row>
    <row r="145" spans="1:12" x14ac:dyDescent="0.25">
      <c r="B145" s="71" t="s">
        <v>183</v>
      </c>
      <c r="E145" s="52">
        <v>0</v>
      </c>
      <c r="F145" s="52">
        <v>3</v>
      </c>
      <c r="G145" s="52">
        <v>0</v>
      </c>
      <c r="H145" s="52">
        <v>0</v>
      </c>
    </row>
    <row r="146" spans="1:12" ht="27" x14ac:dyDescent="0.25">
      <c r="B146" s="71" t="s">
        <v>182</v>
      </c>
      <c r="E146" s="52">
        <f>'Rates and GI'!$D$71</f>
        <v>200</v>
      </c>
      <c r="F146" s="52">
        <f>'Rates and GI'!$D$71</f>
        <v>200</v>
      </c>
      <c r="G146" s="52">
        <f>'Rates and GI'!$D$71</f>
        <v>200</v>
      </c>
      <c r="H146" s="52">
        <f>'Rates and GI'!$D$71</f>
        <v>200</v>
      </c>
    </row>
    <row r="147" spans="1:12" s="5" customFormat="1" x14ac:dyDescent="0.25">
      <c r="B147" s="47" t="s">
        <v>354</v>
      </c>
      <c r="C147" s="94"/>
      <c r="D147" s="36"/>
      <c r="E147" s="52">
        <v>0</v>
      </c>
      <c r="F147" s="52">
        <v>2</v>
      </c>
      <c r="G147" s="44">
        <v>0</v>
      </c>
      <c r="H147" s="44">
        <v>0</v>
      </c>
      <c r="I147" s="6"/>
      <c r="J147" s="6"/>
      <c r="K147" s="6"/>
      <c r="L147" s="6"/>
    </row>
    <row r="148" spans="1:12" s="5" customFormat="1" x14ac:dyDescent="0.25">
      <c r="B148" s="47" t="s">
        <v>349</v>
      </c>
      <c r="C148" s="94"/>
      <c r="D148" s="36"/>
      <c r="E148" s="52">
        <f>'Rates and GI'!$D$72</f>
        <v>50</v>
      </c>
      <c r="F148" s="52">
        <f>'Rates and GI'!$D$72</f>
        <v>50</v>
      </c>
      <c r="G148" s="52">
        <f>'Rates and GI'!$D$72</f>
        <v>50</v>
      </c>
      <c r="H148" s="52">
        <f>'Rates and GI'!$D$72</f>
        <v>50</v>
      </c>
      <c r="I148" s="6"/>
      <c r="J148" s="6"/>
      <c r="K148" s="6"/>
      <c r="L148" s="6"/>
    </row>
    <row r="149" spans="1:12" hidden="1" x14ac:dyDescent="0.25">
      <c r="E149" s="52"/>
      <c r="F149" s="52"/>
      <c r="G149" s="44"/>
      <c r="H149" s="44"/>
    </row>
    <row r="150" spans="1:12" hidden="1" x14ac:dyDescent="0.25">
      <c r="A150" s="58"/>
      <c r="B150" s="58" t="s">
        <v>218</v>
      </c>
      <c r="C150" s="98"/>
      <c r="D150" s="59"/>
      <c r="E150" s="60">
        <f>E151+E154+E157+E166+E171</f>
        <v>0</v>
      </c>
      <c r="F150" s="60">
        <f t="shared" ref="F150:H150" si="36">F151+F154+F157+F166+F171</f>
        <v>0</v>
      </c>
      <c r="G150" s="60">
        <f t="shared" si="36"/>
        <v>0</v>
      </c>
      <c r="H150" s="60">
        <f t="shared" si="36"/>
        <v>0</v>
      </c>
    </row>
    <row r="151" spans="1:12" s="5" customFormat="1" hidden="1" x14ac:dyDescent="0.25">
      <c r="B151" s="5" t="s">
        <v>197</v>
      </c>
      <c r="C151" s="94"/>
      <c r="D151" s="36"/>
      <c r="E151" s="52">
        <f>E152+E155*E156</f>
        <v>0</v>
      </c>
      <c r="F151" s="52">
        <f>F152+F155*F156</f>
        <v>0</v>
      </c>
      <c r="G151" s="52">
        <f>G152+G155*G156</f>
        <v>0</v>
      </c>
      <c r="H151" s="52">
        <f t="shared" ref="H151" si="37">H152+H155*H156</f>
        <v>0</v>
      </c>
    </row>
    <row r="152" spans="1:12" hidden="1" x14ac:dyDescent="0.25">
      <c r="B152" s="47" t="s">
        <v>208</v>
      </c>
      <c r="E152" s="52"/>
      <c r="F152" s="52">
        <f>('Rates and GI'!$D$56+'Rates and GI'!$D$60)*0</f>
        <v>0</v>
      </c>
      <c r="G152" s="52">
        <f>('Rates and GI'!$D$56+'Rates and GI'!$D$60)*0</f>
        <v>0</v>
      </c>
      <c r="H152" s="52"/>
    </row>
    <row r="153" spans="1:12" hidden="1" x14ac:dyDescent="0.25">
      <c r="B153" s="47" t="s">
        <v>211</v>
      </c>
      <c r="E153" s="52"/>
      <c r="F153" s="52">
        <f>'Rates and GI'!$D$62*0</f>
        <v>0</v>
      </c>
      <c r="G153" s="52">
        <f>'Rates and GI'!$D$62*0</f>
        <v>0</v>
      </c>
      <c r="H153" s="52"/>
    </row>
    <row r="154" spans="1:12" hidden="1" x14ac:dyDescent="0.25">
      <c r="B154" s="5" t="s">
        <v>198</v>
      </c>
      <c r="E154" s="52">
        <f>E155*E156</f>
        <v>0</v>
      </c>
      <c r="F154" s="52">
        <f t="shared" ref="F154:H154" si="38">F155*F156</f>
        <v>0</v>
      </c>
      <c r="G154" s="52">
        <f t="shared" si="38"/>
        <v>0</v>
      </c>
      <c r="H154" s="52">
        <f t="shared" si="38"/>
        <v>0</v>
      </c>
    </row>
    <row r="155" spans="1:12" hidden="1" x14ac:dyDescent="0.25">
      <c r="B155" s="47" t="s">
        <v>186</v>
      </c>
      <c r="E155" s="52"/>
      <c r="F155" s="52">
        <f>'Rates and GI'!$D$65</f>
        <v>24.1465</v>
      </c>
      <c r="G155" s="52">
        <f>'Rates and GI'!$D$65</f>
        <v>24.1465</v>
      </c>
      <c r="H155" s="52">
        <f>'Rates and GI'!$D$65</f>
        <v>24.1465</v>
      </c>
    </row>
    <row r="156" spans="1:12" hidden="1" x14ac:dyDescent="0.25">
      <c r="B156" s="47" t="s">
        <v>185</v>
      </c>
      <c r="E156" s="52"/>
      <c r="F156" s="52">
        <v>0</v>
      </c>
      <c r="G156" s="52">
        <v>0</v>
      </c>
      <c r="H156" s="52">
        <v>0</v>
      </c>
    </row>
    <row r="157" spans="1:12" hidden="1" x14ac:dyDescent="0.25">
      <c r="B157" s="5" t="s">
        <v>199</v>
      </c>
      <c r="E157" s="52">
        <f>E158+E162</f>
        <v>0</v>
      </c>
      <c r="F157" s="52">
        <f t="shared" ref="F157:H157" si="39">F158+F162</f>
        <v>0</v>
      </c>
      <c r="G157" s="52">
        <f t="shared" si="39"/>
        <v>0</v>
      </c>
      <c r="H157" s="52">
        <f t="shared" si="39"/>
        <v>0</v>
      </c>
    </row>
    <row r="158" spans="1:12" hidden="1" x14ac:dyDescent="0.25">
      <c r="B158" s="47" t="s">
        <v>213</v>
      </c>
      <c r="E158" s="52">
        <f>E159*E160</f>
        <v>0</v>
      </c>
      <c r="F158" s="52">
        <f t="shared" ref="F158:H158" si="40">F159*F160</f>
        <v>0</v>
      </c>
      <c r="G158" s="52">
        <f t="shared" si="40"/>
        <v>0</v>
      </c>
      <c r="H158" s="52">
        <f t="shared" si="40"/>
        <v>0</v>
      </c>
    </row>
    <row r="159" spans="1:12" hidden="1" x14ac:dyDescent="0.25">
      <c r="B159" s="47" t="s">
        <v>200</v>
      </c>
      <c r="C159" s="94" t="s">
        <v>201</v>
      </c>
      <c r="E159" s="52">
        <v>0</v>
      </c>
      <c r="F159" s="52">
        <v>0</v>
      </c>
      <c r="G159" s="52">
        <v>0</v>
      </c>
      <c r="H159" s="52">
        <v>0</v>
      </c>
    </row>
    <row r="160" spans="1:12" hidden="1" x14ac:dyDescent="0.25">
      <c r="B160" s="47" t="s">
        <v>202</v>
      </c>
      <c r="E160" s="52">
        <f>'Rates and GI'!$D$63</f>
        <v>150</v>
      </c>
      <c r="F160" s="52">
        <f>'Rates and GI'!$D$63</f>
        <v>150</v>
      </c>
      <c r="G160" s="52">
        <f>'Rates and GI'!$D$63</f>
        <v>150</v>
      </c>
      <c r="H160" s="52">
        <f>'Rates and GI'!$D$63</f>
        <v>150</v>
      </c>
    </row>
    <row r="161" spans="1:8" hidden="1" x14ac:dyDescent="0.25">
      <c r="B161" s="6"/>
      <c r="E161" s="52"/>
      <c r="F161" s="52"/>
      <c r="G161" s="44"/>
      <c r="H161" s="44"/>
    </row>
    <row r="162" spans="1:8" hidden="1" x14ac:dyDescent="0.25">
      <c r="B162" s="47" t="s">
        <v>214</v>
      </c>
      <c r="E162" s="52">
        <f>E163*E164</f>
        <v>0</v>
      </c>
      <c r="F162" s="52">
        <f t="shared" ref="F162:H162" si="41">F163*F164</f>
        <v>0</v>
      </c>
      <c r="G162" s="52">
        <f t="shared" si="41"/>
        <v>0</v>
      </c>
      <c r="H162" s="52">
        <f t="shared" si="41"/>
        <v>0</v>
      </c>
    </row>
    <row r="163" spans="1:8" hidden="1" x14ac:dyDescent="0.25">
      <c r="B163" s="47" t="s">
        <v>200</v>
      </c>
      <c r="C163" s="94" t="s">
        <v>201</v>
      </c>
      <c r="E163" s="52">
        <v>0</v>
      </c>
      <c r="F163" s="52">
        <v>0</v>
      </c>
      <c r="G163" s="52">
        <v>0</v>
      </c>
      <c r="H163" s="52">
        <v>0</v>
      </c>
    </row>
    <row r="164" spans="1:8" hidden="1" x14ac:dyDescent="0.25">
      <c r="B164" s="47" t="s">
        <v>202</v>
      </c>
      <c r="E164" s="52">
        <f>'Rates and GI'!$D$64</f>
        <v>20</v>
      </c>
      <c r="F164" s="52">
        <f>'Rates and GI'!$D$64</f>
        <v>20</v>
      </c>
      <c r="G164" s="52">
        <f>'Rates and GI'!$D$64</f>
        <v>20</v>
      </c>
      <c r="H164" s="52">
        <f>'Rates and GI'!$D$64</f>
        <v>20</v>
      </c>
    </row>
    <row r="165" spans="1:8" hidden="1" x14ac:dyDescent="0.25">
      <c r="B165" s="6"/>
      <c r="E165" s="52"/>
      <c r="F165" s="52"/>
      <c r="G165" s="44"/>
      <c r="H165" s="44"/>
    </row>
    <row r="166" spans="1:8" hidden="1" x14ac:dyDescent="0.25">
      <c r="B166" s="5" t="s">
        <v>203</v>
      </c>
      <c r="E166" s="52">
        <f>E167*E168*E169</f>
        <v>0</v>
      </c>
      <c r="F166" s="52">
        <f t="shared" ref="F166:H166" si="42">F167*F168*F169</f>
        <v>0</v>
      </c>
      <c r="G166" s="52">
        <f t="shared" si="42"/>
        <v>0</v>
      </c>
      <c r="H166" s="52">
        <f t="shared" si="42"/>
        <v>0</v>
      </c>
    </row>
    <row r="167" spans="1:8" hidden="1" x14ac:dyDescent="0.25">
      <c r="B167" s="47" t="s">
        <v>215</v>
      </c>
      <c r="E167" s="52"/>
      <c r="F167" s="52">
        <f>'Rates and GI'!$D$66</f>
        <v>300</v>
      </c>
      <c r="G167" s="52">
        <f>'Rates and GI'!$D$66</f>
        <v>300</v>
      </c>
      <c r="H167" s="52">
        <f>'Rates and GI'!$D$66</f>
        <v>300</v>
      </c>
    </row>
    <row r="168" spans="1:8" hidden="1" x14ac:dyDescent="0.25">
      <c r="B168" s="47" t="s">
        <v>216</v>
      </c>
      <c r="E168" s="52">
        <v>0</v>
      </c>
      <c r="F168" s="52">
        <v>0</v>
      </c>
      <c r="G168" s="52">
        <v>0</v>
      </c>
      <c r="H168" s="52">
        <v>0</v>
      </c>
    </row>
    <row r="169" spans="1:8" hidden="1" x14ac:dyDescent="0.25">
      <c r="B169" s="47" t="s">
        <v>217</v>
      </c>
      <c r="E169" s="52">
        <v>0</v>
      </c>
      <c r="F169" s="52">
        <v>0</v>
      </c>
      <c r="G169" s="52">
        <v>0</v>
      </c>
      <c r="H169" s="52">
        <v>0</v>
      </c>
    </row>
    <row r="170" spans="1:8" hidden="1" x14ac:dyDescent="0.25">
      <c r="E170" s="52"/>
      <c r="F170" s="52"/>
      <c r="G170" s="44"/>
      <c r="H170" s="44"/>
    </row>
    <row r="171" spans="1:8" hidden="1" x14ac:dyDescent="0.25">
      <c r="B171" s="5" t="s">
        <v>196</v>
      </c>
      <c r="E171" s="52">
        <f>E172+E173*E174</f>
        <v>0</v>
      </c>
      <c r="F171" s="52">
        <f>F172+F173*F174</f>
        <v>0</v>
      </c>
      <c r="G171" s="52">
        <f>G172+G173*G174</f>
        <v>0</v>
      </c>
      <c r="H171" s="52">
        <f>H172+H173*H174</f>
        <v>0</v>
      </c>
    </row>
    <row r="172" spans="1:8" hidden="1" x14ac:dyDescent="0.25">
      <c r="B172" s="47" t="s">
        <v>172</v>
      </c>
      <c r="E172" s="52"/>
      <c r="F172" s="52">
        <f>'Rates and GI'!D56*0</f>
        <v>0</v>
      </c>
      <c r="G172" s="44"/>
      <c r="H172" s="44"/>
    </row>
    <row r="173" spans="1:8" hidden="1" x14ac:dyDescent="0.25">
      <c r="B173" s="47" t="s">
        <v>178</v>
      </c>
      <c r="E173" s="52"/>
      <c r="F173" s="75">
        <f>'Rates and GI'!$D$58</f>
        <v>0.05</v>
      </c>
      <c r="G173" s="75">
        <f>'Rates and GI'!$D$58</f>
        <v>0.05</v>
      </c>
      <c r="H173" s="75">
        <f>'Rates and GI'!$D$58</f>
        <v>0.05</v>
      </c>
    </row>
    <row r="174" spans="1:8" hidden="1" x14ac:dyDescent="0.25">
      <c r="B174" s="47" t="s">
        <v>179</v>
      </c>
      <c r="E174" s="52"/>
      <c r="F174" s="52">
        <v>0</v>
      </c>
      <c r="G174" s="44">
        <v>0</v>
      </c>
      <c r="H174" s="44"/>
    </row>
    <row r="175" spans="1:8" x14ac:dyDescent="0.25">
      <c r="E175" s="52"/>
      <c r="F175" s="52"/>
      <c r="G175" s="44"/>
      <c r="H175" s="44"/>
    </row>
    <row r="176" spans="1:8" x14ac:dyDescent="0.25">
      <c r="A176" s="58"/>
      <c r="B176" s="86" t="s">
        <v>429</v>
      </c>
      <c r="C176" s="98"/>
      <c r="D176" s="60"/>
      <c r="E176" s="60"/>
      <c r="F176" s="60"/>
      <c r="G176" s="60"/>
      <c r="H176" s="60"/>
    </row>
    <row r="177" spans="1:12" s="7" customFormat="1" x14ac:dyDescent="0.25">
      <c r="A177" s="10"/>
      <c r="B177" s="45" t="s">
        <v>263</v>
      </c>
      <c r="C177" s="102">
        <f>SUM(E177:H177)</f>
        <v>21</v>
      </c>
      <c r="D177" s="52"/>
      <c r="E177" s="52">
        <v>0</v>
      </c>
      <c r="F177" s="52">
        <v>0</v>
      </c>
      <c r="G177" s="52">
        <v>12</v>
      </c>
      <c r="H177" s="52">
        <v>9</v>
      </c>
      <c r="I177" s="70"/>
      <c r="J177" s="6"/>
      <c r="K177" s="6"/>
      <c r="L177" s="6"/>
    </row>
    <row r="178" spans="1:12" s="7" customFormat="1" x14ac:dyDescent="0.25">
      <c r="A178" s="5"/>
      <c r="B178" s="45" t="s">
        <v>264</v>
      </c>
      <c r="C178" s="52">
        <f>Soft!E12</f>
        <v>19317.2</v>
      </c>
      <c r="D178" s="52"/>
      <c r="E178" s="52"/>
      <c r="F178" s="52"/>
      <c r="G178" s="52"/>
      <c r="H178" s="52"/>
      <c r="I178" s="70"/>
      <c r="J178" s="6"/>
      <c r="K178" s="6"/>
      <c r="L178" s="6"/>
    </row>
    <row r="179" spans="1:12" x14ac:dyDescent="0.25">
      <c r="B179" s="45" t="s">
        <v>265</v>
      </c>
      <c r="D179" s="52"/>
      <c r="E179" s="52">
        <f>$C$178/$C$177*E177</f>
        <v>0</v>
      </c>
      <c r="F179" s="52">
        <f t="shared" ref="F179:H179" si="43">$C$178/$C$177*F177</f>
        <v>0</v>
      </c>
      <c r="G179" s="52">
        <f t="shared" si="43"/>
        <v>11038.4</v>
      </c>
      <c r="H179" s="52">
        <f t="shared" si="43"/>
        <v>8278.7999999999993</v>
      </c>
      <c r="I179" s="70"/>
    </row>
    <row r="180" spans="1:12" x14ac:dyDescent="0.25">
      <c r="A180" s="58"/>
      <c r="B180" s="86"/>
      <c r="C180" s="98"/>
      <c r="D180" s="59"/>
      <c r="E180" s="59"/>
      <c r="F180" s="59"/>
      <c r="G180" s="59"/>
      <c r="H180" s="59"/>
    </row>
    <row r="181" spans="1:12" x14ac:dyDescent="0.25">
      <c r="I181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42"/>
  <sheetViews>
    <sheetView topLeftCell="A1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34.5" x14ac:dyDescent="0.3">
      <c r="A1" s="227">
        <v>20</v>
      </c>
      <c r="B1" s="228" t="s">
        <v>423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1583.2378713107248</v>
      </c>
      <c r="E5" s="52">
        <f>E63</f>
        <v>371.17500000000001</v>
      </c>
      <c r="F5" s="52">
        <f t="shared" ref="F5:H5" si="1">F63</f>
        <v>387.13552499999997</v>
      </c>
      <c r="G5" s="52">
        <f t="shared" si="1"/>
        <v>403.78235257499995</v>
      </c>
      <c r="H5" s="52">
        <f t="shared" si="1"/>
        <v>421.14499373572494</v>
      </c>
      <c r="I5" s="70"/>
    </row>
    <row r="6" spans="1:12" x14ac:dyDescent="0.25">
      <c r="B6" s="17" t="s">
        <v>191</v>
      </c>
      <c r="D6" s="52">
        <f t="shared" si="0"/>
        <v>14643.897803542855</v>
      </c>
      <c r="E6" s="52">
        <f>E67</f>
        <v>3433.1220000000008</v>
      </c>
      <c r="F6" s="52">
        <f t="shared" ref="F6:H6" si="2">F67</f>
        <v>3580.7462460000002</v>
      </c>
      <c r="G6" s="52">
        <f t="shared" si="2"/>
        <v>3734.7183345779999</v>
      </c>
      <c r="H6" s="52">
        <f t="shared" si="2"/>
        <v>3895.3112229648536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16227.13567485358</v>
      </c>
      <c r="E7" s="55">
        <f>SUBTOTAL(9,E5:E6)</f>
        <v>3804.2970000000009</v>
      </c>
      <c r="F7" s="55">
        <f>SUBTOTAL(9,F5:F6)</f>
        <v>3967.8817710000003</v>
      </c>
      <c r="G7" s="55">
        <f>SUBTOTAL(9,G5:G6)</f>
        <v>4138.5006871529995</v>
      </c>
      <c r="H7" s="55">
        <f>SUBTOTAL(9,H5:H6)</f>
        <v>4316.4562167005788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1823.3222366666669</v>
      </c>
      <c r="E10" s="52">
        <f>E87</f>
        <v>1823.3222366666669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1823.3222366666669</v>
      </c>
      <c r="E12" s="55">
        <f t="shared" ref="E12:H12" si="5">SUBTOTAL(9,E10:E11)</f>
        <v>1823.3222366666669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E95</f>
        <v>0</v>
      </c>
      <c r="F15" s="52">
        <f t="shared" ref="F15:H15" si="7">F95</f>
        <v>743.12691355000004</v>
      </c>
      <c r="G15" s="52">
        <f>G95</f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4.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4.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767.78559125999993</v>
      </c>
      <c r="E25" s="52">
        <f>E105</f>
        <v>180</v>
      </c>
      <c r="F25" s="52">
        <f t="shared" ref="F25:H25" si="13">F105</f>
        <v>187.73999999999998</v>
      </c>
      <c r="G25" s="52">
        <f t="shared" si="13"/>
        <v>195.81281999999996</v>
      </c>
      <c r="H25" s="52">
        <f t="shared" si="13"/>
        <v>204.23277125999996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E130</f>
        <v>0</v>
      </c>
      <c r="F26" s="52">
        <f>F130</f>
        <v>0</v>
      </c>
      <c r="G26" s="52">
        <f>G130</f>
        <v>0</v>
      </c>
      <c r="H26" s="52">
        <f>H130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767.78559125999993</v>
      </c>
      <c r="E28" s="55">
        <f t="shared" ref="E28:H28" si="15">SUBTOTAL(9,E25:E27)</f>
        <v>180</v>
      </c>
      <c r="F28" s="55">
        <f t="shared" si="15"/>
        <v>187.73999999999998</v>
      </c>
      <c r="G28" s="55">
        <f t="shared" si="15"/>
        <v>195.81281999999996</v>
      </c>
      <c r="H28" s="55">
        <f t="shared" si="15"/>
        <v>204.23277125999996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" si="20">SUM(E46:H46)</f>
        <v>0</v>
      </c>
      <c r="E46" s="52">
        <f>E139</f>
        <v>0</v>
      </c>
      <c r="F46" s="52">
        <f t="shared" ref="F46:H46" si="21">F139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ref="D47" si="22">SUM(E47:H47)</f>
        <v>200</v>
      </c>
      <c r="E47" s="52">
        <f>E135</f>
        <v>0</v>
      </c>
      <c r="F47" s="52">
        <f t="shared" ref="F47:H47" si="23">F135</f>
        <v>0</v>
      </c>
      <c r="G47" s="52">
        <f t="shared" si="23"/>
        <v>100</v>
      </c>
      <c r="H47" s="52">
        <f t="shared" si="23"/>
        <v>100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200</v>
      </c>
      <c r="E48" s="55">
        <f>SUBTOTAL(9,E46:E47)</f>
        <v>0</v>
      </c>
      <c r="F48" s="55">
        <f>SUBTOTAL(9,F46:F47)</f>
        <v>0</v>
      </c>
      <c r="G48" s="55">
        <f>SUBTOTAL(9,G46:G47)</f>
        <v>100</v>
      </c>
      <c r="H48" s="55">
        <f>SUBTOTAL(9,H46:H47)</f>
        <v>100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19761.370416330246</v>
      </c>
      <c r="E50" s="57">
        <f>SUBTOTAL(9,E5:E48)</f>
        <v>5807.6192366666673</v>
      </c>
      <c r="F50" s="57">
        <f>SUBTOTAL(9,F5:F48)</f>
        <v>4898.7486845499998</v>
      </c>
      <c r="G50" s="57">
        <f>SUBTOTAL(9,G5:G48)</f>
        <v>4434.3135071529996</v>
      </c>
      <c r="H50" s="57">
        <f>SUBTOTAL(9,H5:H48)</f>
        <v>4620.6889879605787</v>
      </c>
    </row>
    <row r="51" spans="1:8" ht="14.25" thickBot="1" x14ac:dyDescent="0.3">
      <c r="A51" s="1"/>
      <c r="B51" s="1"/>
      <c r="C51" s="1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/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371.17500000000001</v>
      </c>
      <c r="F63" s="52">
        <f t="shared" ref="F63:H63" si="24">F64*F65</f>
        <v>387.13552499999997</v>
      </c>
      <c r="G63" s="52">
        <f t="shared" si="24"/>
        <v>403.78235257499995</v>
      </c>
      <c r="H63" s="52">
        <f t="shared" si="24"/>
        <v>421.14499373572494</v>
      </c>
    </row>
    <row r="64" spans="1:8" x14ac:dyDescent="0.25">
      <c r="A64" s="9"/>
      <c r="B64" s="9" t="s">
        <v>129</v>
      </c>
      <c r="C64" s="9" t="s">
        <v>128</v>
      </c>
      <c r="E64" s="52">
        <v>21</v>
      </c>
      <c r="F64" s="52">
        <v>21</v>
      </c>
      <c r="G64" s="52">
        <v>21</v>
      </c>
      <c r="H64" s="52">
        <v>21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3433.1220000000008</v>
      </c>
      <c r="F67" s="52">
        <f t="shared" ref="F67:H67" si="25">F68*F69</f>
        <v>3580.7462460000002</v>
      </c>
      <c r="G67" s="52">
        <f t="shared" si="25"/>
        <v>3734.7183345779999</v>
      </c>
      <c r="H67" s="52">
        <f t="shared" si="25"/>
        <v>3895.3112229648536</v>
      </c>
      <c r="I67" s="6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21</v>
      </c>
      <c r="F68" s="52">
        <v>21</v>
      </c>
      <c r="G68" s="52">
        <v>21</v>
      </c>
      <c r="H68" s="52">
        <v>21</v>
      </c>
      <c r="I68" s="6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x14ac:dyDescent="0.25">
      <c r="A87" s="58"/>
      <c r="B87" s="58" t="s">
        <v>10</v>
      </c>
      <c r="C87" s="58"/>
      <c r="D87" s="60"/>
      <c r="E87" s="60">
        <f>E88*E89+E91*E92</f>
        <v>1823.3222366666669</v>
      </c>
      <c r="F87" s="60">
        <f t="shared" ref="F87:H87" si="26">F88*F89+F91*F92</f>
        <v>0</v>
      </c>
      <c r="G87" s="60">
        <f t="shared" si="26"/>
        <v>0</v>
      </c>
      <c r="H87" s="60">
        <f t="shared" si="26"/>
        <v>0</v>
      </c>
    </row>
    <row r="88" spans="1:12" s="7" customFormat="1" x14ac:dyDescent="0.25">
      <c r="A88" s="5"/>
      <c r="B88" s="9" t="s">
        <v>50</v>
      </c>
      <c r="C88" s="5"/>
      <c r="D88" s="52"/>
      <c r="E88" s="52">
        <v>2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1" spans="1:12" s="7" customFormat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5" spans="1:12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7">F96*F97</f>
        <v>743.12691355000004</v>
      </c>
      <c r="G95" s="60">
        <f t="shared" si="27"/>
        <v>0</v>
      </c>
      <c r="H95" s="60">
        <f t="shared" si="27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/>
      <c r="F96" s="52">
        <v>1</v>
      </c>
      <c r="G96" s="52"/>
      <c r="H96" s="52"/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9" spans="1:12" hidden="1" x14ac:dyDescent="0.25">
      <c r="A99" s="58"/>
      <c r="B99" s="58" t="s">
        <v>148</v>
      </c>
      <c r="C99" s="58"/>
      <c r="D99" s="60"/>
      <c r="E99" s="60">
        <f>E100*E101+E102*E103</f>
        <v>0</v>
      </c>
      <c r="F99" s="60">
        <f t="shared" ref="F99:H99" si="28">F100*F101+F102*F103</f>
        <v>0</v>
      </c>
      <c r="G99" s="60">
        <f t="shared" si="28"/>
        <v>0</v>
      </c>
      <c r="H99" s="60">
        <f t="shared" si="28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9">G88</f>
        <v>0</v>
      </c>
      <c r="H101" s="52">
        <f t="shared" si="29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/>
    </row>
    <row r="105" spans="1:12" x14ac:dyDescent="0.25">
      <c r="A105" s="58"/>
      <c r="B105" s="58" t="s">
        <v>24</v>
      </c>
      <c r="C105" s="58"/>
      <c r="D105" s="60"/>
      <c r="E105" s="60">
        <f>E106*E107</f>
        <v>180</v>
      </c>
      <c r="F105" s="60">
        <f t="shared" ref="F105:H105" si="30">F106*F107</f>
        <v>187.73999999999998</v>
      </c>
      <c r="G105" s="60">
        <f t="shared" si="30"/>
        <v>195.81281999999996</v>
      </c>
      <c r="H105" s="60">
        <f t="shared" si="30"/>
        <v>204.23277125999996</v>
      </c>
    </row>
    <row r="106" spans="1:12" s="7" customFormat="1" x14ac:dyDescent="0.25">
      <c r="A106" s="5"/>
      <c r="B106" s="45" t="s">
        <v>54</v>
      </c>
      <c r="C106" s="5"/>
      <c r="D106" s="52"/>
      <c r="E106" s="52">
        <v>30</v>
      </c>
      <c r="F106" s="52">
        <v>30</v>
      </c>
      <c r="G106" s="52">
        <v>30</v>
      </c>
      <c r="H106" s="52">
        <v>30</v>
      </c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52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hidden="1" x14ac:dyDescent="0.25"/>
    <row r="109" spans="1:12" hidden="1" x14ac:dyDescent="0.25">
      <c r="A109" s="58"/>
      <c r="B109" s="58" t="s">
        <v>7</v>
      </c>
      <c r="C109" s="58"/>
      <c r="D109" s="60"/>
      <c r="E109" s="60"/>
      <c r="F109" s="60"/>
      <c r="G109" s="60"/>
      <c r="H109" s="60"/>
    </row>
    <row r="110" spans="1:12" s="7" customFormat="1" hidden="1" x14ac:dyDescent="0.25">
      <c r="A110" s="5"/>
      <c r="B110" s="4" t="s">
        <v>58</v>
      </c>
      <c r="C110" s="5"/>
      <c r="D110" s="52"/>
      <c r="E110" s="52"/>
      <c r="F110" s="52"/>
      <c r="G110" s="44"/>
      <c r="H110" s="44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91"/>
      <c r="E111" s="91"/>
      <c r="F111" s="91"/>
      <c r="G111" s="92"/>
      <c r="H111" s="92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91"/>
      <c r="E112" s="91"/>
      <c r="F112" s="91"/>
      <c r="G112" s="92"/>
      <c r="H112" s="92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hidden="1" x14ac:dyDescent="0.25"/>
    <row r="115" spans="1:12" hidden="1" x14ac:dyDescent="0.25">
      <c r="A115" s="58"/>
      <c r="B115" s="58" t="s">
        <v>26</v>
      </c>
      <c r="C115" s="58"/>
      <c r="D115" s="60"/>
      <c r="E115" s="60"/>
      <c r="F115" s="60"/>
      <c r="G115" s="60"/>
      <c r="H115" s="60"/>
    </row>
    <row r="116" spans="1:12" s="5" customFormat="1" hidden="1" x14ac:dyDescent="0.25">
      <c r="B116" s="63" t="s">
        <v>61</v>
      </c>
      <c r="D116" s="52"/>
      <c r="E116" s="52"/>
      <c r="F116" s="52"/>
      <c r="G116" s="44"/>
      <c r="H116" s="44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52"/>
      <c r="E117" s="52"/>
      <c r="F117" s="52"/>
      <c r="G117" s="44"/>
      <c r="H117" s="44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hidden="1" x14ac:dyDescent="0.25"/>
    <row r="126" spans="1:12" hidden="1" x14ac:dyDescent="0.25">
      <c r="A126" s="58"/>
      <c r="B126" s="58" t="s">
        <v>25</v>
      </c>
      <c r="C126" s="58"/>
      <c r="D126" s="60"/>
      <c r="E126" s="60"/>
      <c r="F126" s="60"/>
      <c r="G126" s="60"/>
      <c r="H126" s="60"/>
    </row>
    <row r="127" spans="1:12" s="5" customFormat="1" hidden="1" x14ac:dyDescent="0.25">
      <c r="B127" s="47" t="s">
        <v>64</v>
      </c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5" t="s">
        <v>173</v>
      </c>
      <c r="D130" s="52"/>
      <c r="E130" s="52">
        <f>E131+E132*E133</f>
        <v>0</v>
      </c>
      <c r="F130" s="52">
        <f t="shared" ref="F130:H130" si="31">F131+F132*F133</f>
        <v>0</v>
      </c>
      <c r="G130" s="52">
        <f t="shared" si="31"/>
        <v>0</v>
      </c>
      <c r="H130" s="52">
        <f t="shared" si="31"/>
        <v>0</v>
      </c>
    </row>
    <row r="131" spans="1:12" hidden="1" x14ac:dyDescent="0.25">
      <c r="B131" s="47" t="s">
        <v>172</v>
      </c>
      <c r="E131" s="52">
        <v>0</v>
      </c>
    </row>
    <row r="132" spans="1:12" hidden="1" x14ac:dyDescent="0.25">
      <c r="B132" s="47" t="s">
        <v>178</v>
      </c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hidden="1" x14ac:dyDescent="0.25">
      <c r="B133" s="47" t="s">
        <v>179</v>
      </c>
      <c r="E133" s="52">
        <v>0</v>
      </c>
      <c r="G133" s="52"/>
      <c r="H133" s="52"/>
    </row>
    <row r="134" spans="1:12" s="5" customFormat="1" x14ac:dyDescent="0.25">
      <c r="B134" s="47"/>
      <c r="D134" s="52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60"/>
      <c r="E135" s="60">
        <f>E136*E137+E138*E139+E140*E141</f>
        <v>0</v>
      </c>
      <c r="F135" s="60">
        <f t="shared" ref="F135:H135" si="32">F136*F137+F138*F139+F140*F141</f>
        <v>0</v>
      </c>
      <c r="G135" s="60">
        <f t="shared" si="32"/>
        <v>100</v>
      </c>
      <c r="H135" s="60">
        <f t="shared" si="32"/>
        <v>100</v>
      </c>
    </row>
    <row r="136" spans="1:12" hidden="1" x14ac:dyDescent="0.25">
      <c r="B136" s="47" t="s">
        <v>169</v>
      </c>
      <c r="G136" s="52"/>
      <c r="H136" s="52"/>
    </row>
    <row r="137" spans="1:12" hidden="1" x14ac:dyDescent="0.25">
      <c r="B137" s="47" t="s">
        <v>170</v>
      </c>
      <c r="G137" s="52"/>
      <c r="H137" s="52"/>
    </row>
    <row r="138" spans="1:12" hidden="1" x14ac:dyDescent="0.25">
      <c r="B138" s="47" t="s">
        <v>167</v>
      </c>
      <c r="G138" s="52"/>
      <c r="H138" s="52"/>
    </row>
    <row r="139" spans="1:12" hidden="1" x14ac:dyDescent="0.25">
      <c r="B139" s="47" t="s">
        <v>168</v>
      </c>
      <c r="G139" s="52"/>
      <c r="H139" s="52"/>
    </row>
    <row r="140" spans="1:12" s="5" customFormat="1" x14ac:dyDescent="0.25">
      <c r="B140" s="47" t="s">
        <v>354</v>
      </c>
      <c r="D140" s="52"/>
      <c r="E140" s="52">
        <v>0</v>
      </c>
      <c r="F140" s="52"/>
      <c r="G140" s="44">
        <v>2</v>
      </c>
      <c r="H140" s="44">
        <v>2</v>
      </c>
      <c r="I140" s="6"/>
      <c r="J140" s="6"/>
      <c r="K140" s="6"/>
      <c r="L140" s="6"/>
    </row>
    <row r="141" spans="1:12" s="5" customFormat="1" x14ac:dyDescent="0.25">
      <c r="B141" s="47" t="s">
        <v>349</v>
      </c>
      <c r="D141" s="52"/>
      <c r="E141" s="52">
        <f>'Rates and GI'!$D$72</f>
        <v>50</v>
      </c>
      <c r="F141" s="52">
        <f>'Rates and GI'!$D$72</f>
        <v>50</v>
      </c>
      <c r="G141" s="52">
        <f>'Rates and GI'!$D$72</f>
        <v>50</v>
      </c>
      <c r="H141" s="52">
        <f>'Rates and GI'!$D$72</f>
        <v>50</v>
      </c>
      <c r="I141" s="6"/>
      <c r="J141" s="6"/>
      <c r="K141" s="6"/>
      <c r="L141" s="6"/>
    </row>
    <row r="142" spans="1:12" x14ac:dyDescent="0.25">
      <c r="A142" s="58"/>
      <c r="B142" s="58"/>
      <c r="C142" s="58"/>
      <c r="D142" s="60"/>
      <c r="E142" s="60"/>
      <c r="F142" s="60"/>
      <c r="G142" s="60"/>
      <c r="H142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49"/>
  <sheetViews>
    <sheetView topLeftCell="A13" workbookViewId="0">
      <selection activeCell="B37" sqref="B37"/>
    </sheetView>
  </sheetViews>
  <sheetFormatPr defaultRowHeight="13.5" x14ac:dyDescent="0.25"/>
  <cols>
    <col min="1" max="1" width="5.5703125" style="5" customWidth="1"/>
    <col min="2" max="2" width="82.140625" style="5" customWidth="1"/>
    <col min="3" max="3" width="14.140625" style="5" customWidth="1"/>
    <col min="4" max="4" width="14.7109375" style="7" customWidth="1"/>
    <col min="5" max="5" width="11.85546875" style="7" bestFit="1" customWidth="1"/>
    <col min="6" max="6" width="10.140625" style="7" bestFit="1" customWidth="1"/>
    <col min="7" max="7" width="10" style="8" bestFit="1" customWidth="1"/>
    <col min="8" max="8" width="10.28515625" style="8" bestFit="1" customWidth="1"/>
    <col min="9" max="16384" width="9.140625" style="6"/>
  </cols>
  <sheetData>
    <row r="1" spans="1:12" s="140" customFormat="1" ht="40.5" customHeight="1" x14ac:dyDescent="0.3">
      <c r="A1" s="227">
        <v>21</v>
      </c>
      <c r="B1" s="228" t="s">
        <v>181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6255.7913792877989</v>
      </c>
      <c r="E5" s="52">
        <f>E63</f>
        <v>0</v>
      </c>
      <c r="F5" s="52">
        <f t="shared" ref="F5:H5" si="1">F63</f>
        <v>2875.8638999999998</v>
      </c>
      <c r="G5" s="52">
        <f t="shared" si="1"/>
        <v>1615.1294102999998</v>
      </c>
      <c r="H5" s="52">
        <f t="shared" si="1"/>
        <v>1764.7980689877998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6255.7913792877989</v>
      </c>
      <c r="E7" s="55">
        <f>SUBTOTAL(9,E5:E6)</f>
        <v>0</v>
      </c>
      <c r="F7" s="55">
        <f>SUBTOTAL(9,F5:F6)</f>
        <v>2875.8638999999998</v>
      </c>
      <c r="G7" s="55">
        <f>SUBTOTAL(9,G5:G6)</f>
        <v>1615.1294102999998</v>
      </c>
      <c r="H7" s="55">
        <f>SUBTOTAL(9,H5:H6)</f>
        <v>1764.7980689877998</v>
      </c>
      <c r="I7" s="70"/>
    </row>
    <row r="8" spans="1:12" ht="6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1823.3222366666669</v>
      </c>
      <c r="E10" s="52">
        <f>E87</f>
        <v>0</v>
      </c>
      <c r="F10" s="52">
        <f t="shared" ref="F10:H10" si="4">F87</f>
        <v>1823.3222366666669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1823.3222366666669</v>
      </c>
      <c r="E12" s="55">
        <f t="shared" ref="E12:H12" si="5">SUBTOTAL(9,E10:E11)</f>
        <v>0</v>
      </c>
      <c r="F12" s="55">
        <f t="shared" si="5"/>
        <v>1823.3222366666669</v>
      </c>
      <c r="G12" s="55">
        <f t="shared" si="5"/>
        <v>0</v>
      </c>
      <c r="H12" s="55">
        <f t="shared" si="5"/>
        <v>0</v>
      </c>
      <c r="I12" s="70"/>
    </row>
    <row r="13" spans="1:12" ht="3.75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163.48200000000003</v>
      </c>
      <c r="E20" s="52">
        <f>E99</f>
        <v>0</v>
      </c>
      <c r="F20" s="52">
        <f t="shared" ref="F20:H20" si="10">F99</f>
        <v>163.48200000000003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163.48200000000003</v>
      </c>
      <c r="E22" s="55">
        <f t="shared" ref="E22:H22" si="12">SUBTOTAL(9,E20:E21)</f>
        <v>0</v>
      </c>
      <c r="F22" s="55">
        <f t="shared" si="12"/>
        <v>163.48200000000003</v>
      </c>
      <c r="G22" s="55">
        <f t="shared" si="12"/>
        <v>0</v>
      </c>
      <c r="H22" s="55">
        <f t="shared" si="12"/>
        <v>0</v>
      </c>
    </row>
    <row r="23" spans="1:12" ht="5.2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E105</f>
        <v>0</v>
      </c>
      <c r="F25" s="52">
        <f t="shared" ref="F25:H25" si="13">F105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190</v>
      </c>
      <c r="E26" s="52">
        <f>E130</f>
        <v>0</v>
      </c>
      <c r="F26" s="52">
        <f>F130</f>
        <v>0</v>
      </c>
      <c r="G26" s="52">
        <f>G130</f>
        <v>190</v>
      </c>
      <c r="H26" s="52">
        <f>H130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190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190</v>
      </c>
      <c r="H28" s="55">
        <f t="shared" si="15"/>
        <v>0</v>
      </c>
    </row>
    <row r="29" spans="1:12" ht="6" customHeight="1" x14ac:dyDescent="0.25">
      <c r="D29" s="52"/>
      <c r="E29" s="52"/>
      <c r="F29" s="52"/>
      <c r="G29" s="44"/>
      <c r="H29" s="44"/>
    </row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4.5" customHeight="1" x14ac:dyDescent="0.25">
      <c r="A44" s="3"/>
      <c r="B44" s="6"/>
      <c r="C44" s="3"/>
      <c r="D44" s="52"/>
      <c r="E44" s="52"/>
      <c r="F44" s="52"/>
      <c r="G44" s="44"/>
      <c r="H44" s="44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1144.8789999999997</v>
      </c>
      <c r="E46" s="52">
        <f>E145</f>
        <v>0</v>
      </c>
      <c r="F46" s="52">
        <f t="shared" ref="F46:H46" si="21">F145</f>
        <v>1048.2929999999999</v>
      </c>
      <c r="G46" s="52">
        <f t="shared" si="21"/>
        <v>48.292999999999999</v>
      </c>
      <c r="H46" s="52">
        <f t="shared" si="21"/>
        <v>48.292999999999999</v>
      </c>
    </row>
    <row r="47" spans="1:12" x14ac:dyDescent="0.25">
      <c r="A47" s="3"/>
      <c r="B47" s="3" t="s">
        <v>21</v>
      </c>
      <c r="C47" s="3"/>
      <c r="D47" s="52">
        <f t="shared" si="20"/>
        <v>8350</v>
      </c>
      <c r="E47" s="52">
        <f>E135</f>
        <v>0</v>
      </c>
      <c r="F47" s="52">
        <f t="shared" ref="F47:H47" si="22">F135</f>
        <v>3800</v>
      </c>
      <c r="G47" s="52">
        <f t="shared" si="22"/>
        <v>3350</v>
      </c>
      <c r="H47" s="52">
        <f t="shared" si="22"/>
        <v>1200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9494.878999999999</v>
      </c>
      <c r="E48" s="55">
        <f>SUBTOTAL(9,E46:E47)</f>
        <v>0</v>
      </c>
      <c r="F48" s="55">
        <f>SUBTOTAL(9,F46:F47)</f>
        <v>4848.2929999999997</v>
      </c>
      <c r="G48" s="55">
        <f>SUBTOTAL(9,G46:G47)</f>
        <v>3398.2930000000001</v>
      </c>
      <c r="H48" s="55">
        <f>SUBTOTAL(9,H46:H47)</f>
        <v>1248.2929999999999</v>
      </c>
    </row>
    <row r="49" spans="1:8" ht="8.25" customHeight="1" x14ac:dyDescent="0.25">
      <c r="A49" s="1"/>
      <c r="B49" s="1"/>
      <c r="C49" s="1"/>
      <c r="D49" s="52"/>
      <c r="E49" s="52"/>
      <c r="F49" s="52"/>
      <c r="G49" s="44"/>
      <c r="H49" s="44"/>
    </row>
    <row r="50" spans="1:8" ht="14.25" thickBot="1" x14ac:dyDescent="0.3">
      <c r="A50" s="56"/>
      <c r="B50" s="56" t="s">
        <v>160</v>
      </c>
      <c r="C50" s="56"/>
      <c r="D50" s="57">
        <f>SUBTOTAL(9,D5:D48)</f>
        <v>17927.474615954467</v>
      </c>
      <c r="E50" s="57">
        <f>SUBTOTAL(9,E5:E48)</f>
        <v>0</v>
      </c>
      <c r="F50" s="57">
        <f>SUBTOTAL(9,F5:F48)</f>
        <v>9710.9611366666668</v>
      </c>
      <c r="G50" s="57">
        <f>SUBTOTAL(9,G5:G48)</f>
        <v>5203.4224102999997</v>
      </c>
      <c r="H50" s="57">
        <f>SUBTOTAL(9,H5:H48)</f>
        <v>3013.0910689877996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59"/>
      <c r="E56" s="59"/>
      <c r="F56" s="59"/>
      <c r="G56" s="59"/>
      <c r="H56" s="59"/>
    </row>
    <row r="57" spans="1:8" hidden="1" x14ac:dyDescent="0.25">
      <c r="B57" s="5" t="s">
        <v>2</v>
      </c>
      <c r="D57" s="36"/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D58" s="36"/>
      <c r="E58" s="52">
        <v>0</v>
      </c>
      <c r="F58" s="52"/>
      <c r="G58" s="44"/>
      <c r="H58" s="44"/>
    </row>
    <row r="59" spans="1:8" hidden="1" x14ac:dyDescent="0.25">
      <c r="A59" s="9"/>
      <c r="B59" s="9" t="s">
        <v>38</v>
      </c>
      <c r="C59" s="9"/>
      <c r="D59" s="37"/>
      <c r="E59" s="53">
        <v>0</v>
      </c>
      <c r="F59" s="52"/>
      <c r="G59" s="44"/>
      <c r="H59" s="44"/>
    </row>
    <row r="60" spans="1:8" hidden="1" x14ac:dyDescent="0.25">
      <c r="A60" s="9"/>
      <c r="B60" s="9" t="s">
        <v>39</v>
      </c>
      <c r="C60" s="9"/>
      <c r="D60" s="36"/>
      <c r="E60" s="52">
        <v>0</v>
      </c>
      <c r="F60" s="52"/>
      <c r="G60" s="44"/>
      <c r="H60" s="44"/>
    </row>
    <row r="61" spans="1:8" hidden="1" x14ac:dyDescent="0.25">
      <c r="A61" s="9"/>
      <c r="B61" s="9" t="s">
        <v>40</v>
      </c>
      <c r="C61" s="9"/>
      <c r="D61" s="36"/>
      <c r="E61" s="54">
        <v>0</v>
      </c>
      <c r="F61" s="52"/>
      <c r="G61" s="44"/>
      <c r="H61" s="44"/>
    </row>
    <row r="62" spans="1:8" hidden="1" x14ac:dyDescent="0.25">
      <c r="A62" s="9"/>
      <c r="B62" s="9"/>
      <c r="C62" s="9"/>
      <c r="D62" s="36"/>
      <c r="E62" s="52"/>
      <c r="F62" s="52"/>
      <c r="G62" s="44"/>
      <c r="H62" s="44"/>
    </row>
    <row r="63" spans="1:8" x14ac:dyDescent="0.25">
      <c r="B63" s="5" t="s">
        <v>23</v>
      </c>
      <c r="D63" s="36"/>
      <c r="E63" s="52">
        <f>E64*E65</f>
        <v>0</v>
      </c>
      <c r="F63" s="52">
        <f t="shared" ref="F63:H63" si="23">F64*F65</f>
        <v>2875.8638999999998</v>
      </c>
      <c r="G63" s="52">
        <f t="shared" si="23"/>
        <v>1615.1294102999998</v>
      </c>
      <c r="H63" s="52">
        <f t="shared" si="23"/>
        <v>1764.7980689877998</v>
      </c>
    </row>
    <row r="64" spans="1:8" x14ac:dyDescent="0.25">
      <c r="A64" s="9"/>
      <c r="B64" s="9" t="s">
        <v>129</v>
      </c>
      <c r="C64" s="9" t="s">
        <v>128</v>
      </c>
      <c r="D64" s="36"/>
      <c r="E64" s="52">
        <v>0</v>
      </c>
      <c r="F64" s="52">
        <f>93+42+21</f>
        <v>156</v>
      </c>
      <c r="G64" s="52">
        <f>63+21</f>
        <v>84</v>
      </c>
      <c r="H64" s="52">
        <f>63+25</f>
        <v>88</v>
      </c>
    </row>
    <row r="65" spans="1:12" x14ac:dyDescent="0.25">
      <c r="A65" s="9"/>
      <c r="B65" s="9" t="s">
        <v>41</v>
      </c>
      <c r="C65" s="9"/>
      <c r="D65" s="36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>
      <c r="D66" s="36"/>
      <c r="E66" s="36"/>
      <c r="F66" s="36"/>
      <c r="G66" s="29"/>
      <c r="H66" s="29"/>
    </row>
    <row r="67" spans="1:12" s="7" customFormat="1" hidden="1" x14ac:dyDescent="0.25">
      <c r="A67" s="5"/>
      <c r="B67" s="5" t="s">
        <v>191</v>
      </c>
      <c r="C67" s="5"/>
      <c r="D67" s="36"/>
      <c r="E67" s="52">
        <f>E68*E69</f>
        <v>0</v>
      </c>
      <c r="F67" s="52">
        <f t="shared" ref="F67:H67" si="24">F68*F69</f>
        <v>0</v>
      </c>
      <c r="G67" s="52">
        <f t="shared" si="24"/>
        <v>0</v>
      </c>
      <c r="H67" s="52">
        <f t="shared" si="24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36"/>
      <c r="E68" s="52">
        <v>0</v>
      </c>
      <c r="F68" s="52">
        <v>0</v>
      </c>
      <c r="G68" s="44">
        <v>0</v>
      </c>
      <c r="H68" s="44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36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>
      <c r="D70" s="36"/>
      <c r="E70" s="36"/>
      <c r="F70" s="36"/>
      <c r="G70" s="29"/>
      <c r="H70" s="29"/>
    </row>
    <row r="71" spans="1:12" s="7" customFormat="1" hidden="1" x14ac:dyDescent="0.25">
      <c r="A71" s="5"/>
      <c r="B71" s="5" t="s">
        <v>1</v>
      </c>
      <c r="C71" s="5"/>
      <c r="D71" s="36"/>
      <c r="E71" s="36"/>
      <c r="F71" s="36"/>
      <c r="G71" s="29"/>
      <c r="H71" s="29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36"/>
      <c r="E72" s="52">
        <v>0</v>
      </c>
      <c r="F72" s="36"/>
      <c r="G72" s="29"/>
      <c r="H72" s="29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36"/>
      <c r="E73" s="52">
        <v>0</v>
      </c>
      <c r="F73" s="36"/>
      <c r="G73" s="29"/>
      <c r="H73" s="29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36"/>
      <c r="E74" s="52">
        <v>0</v>
      </c>
      <c r="F74" s="36"/>
      <c r="G74" s="29"/>
      <c r="H74" s="29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36"/>
      <c r="E75" s="52">
        <v>0</v>
      </c>
      <c r="F75" s="36"/>
      <c r="G75" s="29"/>
      <c r="H75" s="29"/>
      <c r="I75" s="6"/>
      <c r="J75" s="6"/>
      <c r="K75" s="6"/>
      <c r="L75" s="6"/>
    </row>
    <row r="76" spans="1:12" hidden="1" x14ac:dyDescent="0.25">
      <c r="D76" s="36"/>
      <c r="E76" s="52"/>
      <c r="F76" s="36"/>
      <c r="G76" s="29"/>
      <c r="H76" s="29"/>
    </row>
    <row r="77" spans="1:12" s="7" customFormat="1" hidden="1" x14ac:dyDescent="0.25">
      <c r="A77" s="5"/>
      <c r="B77" s="5" t="s">
        <v>3</v>
      </c>
      <c r="C77" s="5"/>
      <c r="D77" s="36"/>
      <c r="E77" s="52"/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36"/>
      <c r="E78" s="52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36"/>
      <c r="E79" s="52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>
      <c r="D80" s="36"/>
      <c r="E80" s="52"/>
      <c r="F80" s="36"/>
      <c r="G80" s="29"/>
      <c r="H80" s="29"/>
    </row>
    <row r="81" spans="1:12" s="7" customFormat="1" hidden="1" x14ac:dyDescent="0.25">
      <c r="A81" s="5"/>
      <c r="B81" s="5" t="s">
        <v>4</v>
      </c>
      <c r="C81" s="5"/>
      <c r="D81" s="36"/>
      <c r="E81" s="52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36"/>
      <c r="E82" s="52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36"/>
      <c r="E83" s="52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>
      <c r="D84" s="36"/>
      <c r="E84" s="52"/>
      <c r="F84" s="36"/>
      <c r="G84" s="29"/>
      <c r="H84" s="29"/>
    </row>
    <row r="85" spans="1:12" s="7" customFormat="1" hidden="1" x14ac:dyDescent="0.25">
      <c r="A85" s="9"/>
      <c r="B85" s="9" t="s">
        <v>40</v>
      </c>
      <c r="C85" s="9"/>
      <c r="D85" s="36"/>
      <c r="E85" s="39"/>
      <c r="F85" s="36"/>
      <c r="G85" s="29"/>
      <c r="H85" s="29"/>
      <c r="I85" s="6"/>
      <c r="J85" s="6"/>
      <c r="K85" s="6"/>
      <c r="L85" s="6"/>
    </row>
    <row r="86" spans="1:12" x14ac:dyDescent="0.25">
      <c r="D86" s="36"/>
      <c r="E86" s="36"/>
      <c r="F86" s="36"/>
      <c r="G86" s="29"/>
      <c r="H86" s="29"/>
    </row>
    <row r="87" spans="1:12" x14ac:dyDescent="0.25">
      <c r="A87" s="58"/>
      <c r="B87" s="58" t="s">
        <v>10</v>
      </c>
      <c r="C87" s="58"/>
      <c r="D87" s="59"/>
      <c r="E87" s="60">
        <f>E88*E89+E91*E92</f>
        <v>0</v>
      </c>
      <c r="F87" s="60">
        <f t="shared" ref="F87:H87" si="25">F88*F89+F91*F92</f>
        <v>1823.3222366666669</v>
      </c>
      <c r="G87" s="60">
        <f t="shared" si="25"/>
        <v>0</v>
      </c>
      <c r="H87" s="60">
        <f t="shared" si="25"/>
        <v>0</v>
      </c>
    </row>
    <row r="88" spans="1:12" s="7" customFormat="1" x14ac:dyDescent="0.25">
      <c r="A88" s="5"/>
      <c r="B88" s="9" t="s">
        <v>50</v>
      </c>
      <c r="C88" s="5"/>
      <c r="D88" s="36"/>
      <c r="E88" s="52">
        <v>0</v>
      </c>
      <c r="F88" s="52">
        <v>2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x14ac:dyDescent="0.25">
      <c r="A89" s="5"/>
      <c r="B89" s="9" t="s">
        <v>51</v>
      </c>
      <c r="C89" s="5"/>
      <c r="D89" s="36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>
      <c r="D90" s="36"/>
      <c r="E90" s="52"/>
      <c r="F90" s="52"/>
      <c r="G90" s="44"/>
      <c r="H90" s="44"/>
    </row>
    <row r="91" spans="1:12" s="7" customFormat="1" hidden="1" x14ac:dyDescent="0.25">
      <c r="A91" s="5"/>
      <c r="B91" s="9" t="s">
        <v>52</v>
      </c>
      <c r="C91" s="5"/>
      <c r="D91" s="36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36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>
      <c r="D93" s="36"/>
      <c r="E93" s="52"/>
      <c r="F93" s="52"/>
      <c r="G93" s="44"/>
      <c r="H93" s="44"/>
    </row>
    <row r="94" spans="1:12" hidden="1" x14ac:dyDescent="0.25">
      <c r="D94" s="36"/>
      <c r="E94" s="52"/>
      <c r="F94" s="52"/>
      <c r="G94" s="44"/>
      <c r="H94" s="44"/>
    </row>
    <row r="95" spans="1:12" hidden="1" x14ac:dyDescent="0.25">
      <c r="A95" s="58"/>
      <c r="B95" s="58" t="s">
        <v>194</v>
      </c>
      <c r="C95" s="58"/>
      <c r="D95" s="59"/>
      <c r="E95" s="60">
        <f>E96*E97</f>
        <v>0</v>
      </c>
      <c r="F95" s="60">
        <f t="shared" ref="F95:H95" si="26">F96*F97</f>
        <v>0</v>
      </c>
      <c r="G95" s="60">
        <f t="shared" si="26"/>
        <v>0</v>
      </c>
      <c r="H95" s="60">
        <f t="shared" si="26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36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36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>
      <c r="D98" s="36"/>
      <c r="E98" s="52"/>
      <c r="F98" s="52"/>
      <c r="G98" s="44"/>
      <c r="H98" s="44"/>
    </row>
    <row r="99" spans="1:12" hidden="1" x14ac:dyDescent="0.25">
      <c r="A99" s="58"/>
      <c r="B99" s="58" t="s">
        <v>148</v>
      </c>
      <c r="C99" s="58"/>
      <c r="D99" s="59"/>
      <c r="E99" s="60">
        <f>E100*E101+E102*E103</f>
        <v>0</v>
      </c>
      <c r="F99" s="60">
        <f t="shared" ref="F99:H99" si="27">F100*F101+F102*F103</f>
        <v>163.48200000000003</v>
      </c>
      <c r="G99" s="60">
        <f t="shared" si="27"/>
        <v>0</v>
      </c>
      <c r="H99" s="60">
        <f t="shared" si="27"/>
        <v>0</v>
      </c>
    </row>
    <row r="100" spans="1:12" hidden="1" x14ac:dyDescent="0.25">
      <c r="B100" s="45" t="s">
        <v>149</v>
      </c>
      <c r="C100" s="5" t="s">
        <v>150</v>
      </c>
      <c r="D100" s="36"/>
      <c r="E100" s="52"/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D101" s="36"/>
      <c r="E101" s="52"/>
      <c r="F101" s="52">
        <f>F88</f>
        <v>2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D102" s="36"/>
      <c r="E102" s="52"/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D103" s="36"/>
      <c r="E103" s="52"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/>
      <c r="D104" s="36"/>
      <c r="E104" s="52"/>
      <c r="F104" s="52"/>
      <c r="G104" s="44"/>
      <c r="H104" s="44"/>
    </row>
    <row r="105" spans="1:12" hidden="1" x14ac:dyDescent="0.25">
      <c r="A105" s="58"/>
      <c r="B105" s="58" t="s">
        <v>24</v>
      </c>
      <c r="C105" s="58"/>
      <c r="D105" s="59"/>
      <c r="E105" s="60">
        <f>E106*E107</f>
        <v>0</v>
      </c>
      <c r="F105" s="60">
        <f t="shared" ref="F105:H105" si="29">F106*F107</f>
        <v>0</v>
      </c>
      <c r="G105" s="60">
        <f t="shared" si="29"/>
        <v>0</v>
      </c>
      <c r="H105" s="60">
        <f t="shared" si="29"/>
        <v>0</v>
      </c>
    </row>
    <row r="106" spans="1:12" s="7" customFormat="1" hidden="1" x14ac:dyDescent="0.25">
      <c r="A106" s="5"/>
      <c r="B106" s="45" t="s">
        <v>54</v>
      </c>
      <c r="C106" s="5"/>
      <c r="D106" s="36"/>
      <c r="E106" s="52">
        <v>0</v>
      </c>
      <c r="F106" s="52">
        <v>0</v>
      </c>
      <c r="G106" s="52"/>
      <c r="H106" s="52"/>
      <c r="I106" s="6"/>
      <c r="J106" s="6"/>
      <c r="K106" s="6"/>
      <c r="L106" s="6"/>
    </row>
    <row r="107" spans="1:12" s="7" customFormat="1" hidden="1" x14ac:dyDescent="0.25">
      <c r="A107" s="5"/>
      <c r="B107" s="45" t="s">
        <v>55</v>
      </c>
      <c r="C107" s="5"/>
      <c r="D107" s="36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hidden="1" x14ac:dyDescent="0.25">
      <c r="D108" s="36"/>
      <c r="E108" s="52"/>
      <c r="F108" s="52"/>
      <c r="G108" s="44"/>
      <c r="H108" s="44"/>
    </row>
    <row r="109" spans="1:12" hidden="1" x14ac:dyDescent="0.25">
      <c r="A109" s="58"/>
      <c r="B109" s="58" t="s">
        <v>7</v>
      </c>
      <c r="C109" s="58"/>
      <c r="D109" s="59"/>
      <c r="E109" s="59"/>
      <c r="F109" s="59"/>
      <c r="G109" s="59"/>
      <c r="H109" s="59"/>
    </row>
    <row r="110" spans="1:12" s="7" customFormat="1" hidden="1" x14ac:dyDescent="0.25">
      <c r="A110" s="5"/>
      <c r="B110" s="4" t="s">
        <v>58</v>
      </c>
      <c r="C110" s="5"/>
      <c r="D110" s="36"/>
      <c r="E110" s="36"/>
      <c r="F110" s="36"/>
      <c r="G110" s="29"/>
      <c r="H110" s="29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48"/>
      <c r="E111" s="48"/>
      <c r="F111" s="48"/>
      <c r="G111" s="49"/>
      <c r="H111" s="49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48"/>
      <c r="E112" s="48"/>
      <c r="F112" s="48"/>
      <c r="G112" s="49"/>
      <c r="H112" s="49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48"/>
      <c r="E113" s="48"/>
      <c r="F113" s="48"/>
      <c r="G113" s="49"/>
      <c r="H113" s="49"/>
      <c r="I113" s="50"/>
      <c r="J113" s="50"/>
      <c r="K113" s="50"/>
      <c r="L113" s="50"/>
    </row>
    <row r="114" spans="1:12" hidden="1" x14ac:dyDescent="0.25">
      <c r="D114" s="36"/>
      <c r="E114" s="36"/>
      <c r="F114" s="36"/>
      <c r="G114" s="29"/>
      <c r="H114" s="29"/>
    </row>
    <row r="115" spans="1:12" hidden="1" x14ac:dyDescent="0.25">
      <c r="A115" s="58"/>
      <c r="B115" s="58" t="s">
        <v>26</v>
      </c>
      <c r="C115" s="58"/>
      <c r="D115" s="59"/>
      <c r="E115" s="59"/>
      <c r="F115" s="59"/>
      <c r="G115" s="59"/>
      <c r="H115" s="59"/>
    </row>
    <row r="116" spans="1:12" s="5" customFormat="1" hidden="1" x14ac:dyDescent="0.25">
      <c r="B116" s="63" t="s">
        <v>61</v>
      </c>
      <c r="D116" s="36"/>
      <c r="E116" s="36"/>
      <c r="F116" s="36"/>
      <c r="G116" s="29"/>
      <c r="H116" s="29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36"/>
      <c r="E117" s="36"/>
      <c r="F117" s="36"/>
      <c r="G117" s="29"/>
      <c r="H117" s="29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36"/>
      <c r="E118" s="36"/>
      <c r="F118" s="36"/>
      <c r="G118" s="29"/>
      <c r="H118" s="29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36"/>
      <c r="E119" s="36"/>
      <c r="F119" s="36"/>
      <c r="G119" s="29"/>
      <c r="H119" s="29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x14ac:dyDescent="0.25">
      <c r="D125" s="36"/>
      <c r="E125" s="36"/>
      <c r="F125" s="36"/>
      <c r="G125" s="29"/>
      <c r="H125" s="29"/>
    </row>
    <row r="126" spans="1:12" x14ac:dyDescent="0.25">
      <c r="A126" s="58"/>
      <c r="B126" s="58" t="s">
        <v>25</v>
      </c>
      <c r="C126" s="58"/>
      <c r="D126" s="59"/>
      <c r="E126" s="59"/>
      <c r="F126" s="59"/>
      <c r="G126" s="59"/>
      <c r="H126" s="59"/>
    </row>
    <row r="127" spans="1:12" s="5" customFormat="1" hidden="1" x14ac:dyDescent="0.25">
      <c r="B127" s="47" t="s">
        <v>64</v>
      </c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s="5" customFormat="1" x14ac:dyDescent="0.25">
      <c r="B130" s="5" t="s">
        <v>173</v>
      </c>
      <c r="D130" s="36"/>
      <c r="E130" s="52">
        <f>E131+E132*E133</f>
        <v>0</v>
      </c>
      <c r="F130" s="52">
        <f t="shared" ref="F130:H130" si="30">F131+F132*F133</f>
        <v>0</v>
      </c>
      <c r="G130" s="52">
        <f t="shared" si="30"/>
        <v>190</v>
      </c>
      <c r="H130" s="52">
        <f t="shared" si="30"/>
        <v>0</v>
      </c>
    </row>
    <row r="131" spans="1:12" x14ac:dyDescent="0.25">
      <c r="B131" s="47" t="s">
        <v>172</v>
      </c>
      <c r="D131" s="36"/>
      <c r="E131" s="52"/>
      <c r="F131" s="52">
        <v>0</v>
      </c>
      <c r="G131" s="44">
        <f>'Rates and GI'!D57</f>
        <v>150</v>
      </c>
      <c r="H131" s="44"/>
    </row>
    <row r="132" spans="1:12" x14ac:dyDescent="0.25">
      <c r="B132" s="47" t="s">
        <v>178</v>
      </c>
      <c r="D132" s="36"/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x14ac:dyDescent="0.25">
      <c r="B133" s="47" t="s">
        <v>179</v>
      </c>
      <c r="D133" s="36"/>
      <c r="E133" s="52">
        <v>0</v>
      </c>
      <c r="F133" s="52">
        <v>0</v>
      </c>
      <c r="G133" s="52">
        <v>2000</v>
      </c>
      <c r="H133" s="52"/>
    </row>
    <row r="134" spans="1:12" s="5" customFormat="1" x14ac:dyDescent="0.25">
      <c r="B134" s="47"/>
      <c r="D134" s="36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59"/>
      <c r="E135" s="60">
        <f>E136*E137+E138*E139++E140*E141+E142*E143</f>
        <v>0</v>
      </c>
      <c r="F135" s="60">
        <f t="shared" ref="F135:H135" si="31">F136*F137+F138*F139++F140*F141+F142*F143</f>
        <v>3800</v>
      </c>
      <c r="G135" s="60">
        <f t="shared" si="31"/>
        <v>3350</v>
      </c>
      <c r="H135" s="60">
        <f t="shared" si="31"/>
        <v>1200</v>
      </c>
    </row>
    <row r="136" spans="1:12" hidden="1" x14ac:dyDescent="0.25">
      <c r="B136" s="47" t="s">
        <v>169</v>
      </c>
      <c r="D136" s="36"/>
      <c r="E136" s="52"/>
      <c r="F136" s="52"/>
      <c r="G136" s="52"/>
      <c r="H136" s="52"/>
    </row>
    <row r="137" spans="1:12" hidden="1" x14ac:dyDescent="0.25">
      <c r="B137" s="47" t="s">
        <v>170</v>
      </c>
      <c r="D137" s="36"/>
      <c r="E137" s="52"/>
      <c r="F137" s="52"/>
      <c r="G137" s="52"/>
      <c r="H137" s="52"/>
    </row>
    <row r="138" spans="1:12" x14ac:dyDescent="0.25">
      <c r="B138" s="47" t="s">
        <v>167</v>
      </c>
      <c r="D138" s="36"/>
      <c r="E138" s="52"/>
      <c r="F138" s="52">
        <v>1</v>
      </c>
      <c r="G138" s="52">
        <v>1</v>
      </c>
      <c r="H138" s="52"/>
    </row>
    <row r="139" spans="1:12" x14ac:dyDescent="0.25">
      <c r="B139" s="47" t="s">
        <v>168</v>
      </c>
      <c r="D139" s="36"/>
      <c r="E139" s="52"/>
      <c r="F139" s="52">
        <f>'Rates and GI'!$D$70</f>
        <v>1500</v>
      </c>
      <c r="G139" s="52">
        <f>'Rates and GI'!$D$70</f>
        <v>1500</v>
      </c>
      <c r="H139" s="52"/>
    </row>
    <row r="140" spans="1:12" ht="27" x14ac:dyDescent="0.25">
      <c r="B140" s="71" t="s">
        <v>183</v>
      </c>
      <c r="D140" s="36"/>
      <c r="E140" s="52">
        <v>0</v>
      </c>
      <c r="F140" s="52">
        <v>10</v>
      </c>
      <c r="G140" s="52">
        <v>8</v>
      </c>
      <c r="H140" s="52">
        <v>5</v>
      </c>
    </row>
    <row r="141" spans="1:12" ht="27" x14ac:dyDescent="0.25">
      <c r="B141" s="71" t="s">
        <v>182</v>
      </c>
      <c r="D141" s="36"/>
      <c r="E141" s="52">
        <f>'Rates and GI'!$D$71</f>
        <v>200</v>
      </c>
      <c r="F141" s="52">
        <f>'Rates and GI'!$D$71</f>
        <v>200</v>
      </c>
      <c r="G141" s="52">
        <f>'Rates and GI'!$D$71</f>
        <v>200</v>
      </c>
      <c r="H141" s="52">
        <f>'Rates and GI'!$D$71</f>
        <v>200</v>
      </c>
    </row>
    <row r="142" spans="1:12" s="5" customFormat="1" x14ac:dyDescent="0.25">
      <c r="B142" s="47" t="s">
        <v>354</v>
      </c>
      <c r="D142" s="36"/>
      <c r="E142" s="52">
        <v>0</v>
      </c>
      <c r="F142" s="52">
        <v>6</v>
      </c>
      <c r="G142" s="44">
        <v>5</v>
      </c>
      <c r="H142" s="44">
        <v>4</v>
      </c>
      <c r="I142" s="6"/>
      <c r="J142" s="6"/>
      <c r="K142" s="6"/>
      <c r="L142" s="6"/>
    </row>
    <row r="143" spans="1:12" s="5" customFormat="1" x14ac:dyDescent="0.25">
      <c r="B143" s="47" t="s">
        <v>349</v>
      </c>
      <c r="D143" s="36"/>
      <c r="E143" s="52">
        <f>'Rates and GI'!$D$72</f>
        <v>50</v>
      </c>
      <c r="F143" s="52">
        <f>'Rates and GI'!$D$72</f>
        <v>50</v>
      </c>
      <c r="G143" s="52">
        <f>'Rates and GI'!$D$72</f>
        <v>50</v>
      </c>
      <c r="H143" s="52">
        <f>'Rates and GI'!$D$72</f>
        <v>50</v>
      </c>
      <c r="I143" s="6"/>
      <c r="J143" s="6"/>
      <c r="K143" s="6"/>
      <c r="L143" s="6"/>
    </row>
    <row r="144" spans="1:12" x14ac:dyDescent="0.25">
      <c r="D144" s="36"/>
      <c r="E144" s="36"/>
      <c r="F144" s="36"/>
      <c r="G144" s="29"/>
      <c r="H144" s="29"/>
    </row>
    <row r="145" spans="1:8" x14ac:dyDescent="0.25">
      <c r="A145" s="58"/>
      <c r="B145" s="58" t="s">
        <v>15</v>
      </c>
      <c r="C145" s="58"/>
      <c r="D145" s="59"/>
      <c r="E145" s="60">
        <f>E146+E147*E148</f>
        <v>0</v>
      </c>
      <c r="F145" s="60">
        <f t="shared" ref="F145:H145" si="32">F146+F147*F148</f>
        <v>1048.2929999999999</v>
      </c>
      <c r="G145" s="60">
        <f t="shared" si="32"/>
        <v>48.292999999999999</v>
      </c>
      <c r="H145" s="60">
        <f t="shared" si="32"/>
        <v>48.292999999999999</v>
      </c>
    </row>
    <row r="146" spans="1:8" x14ac:dyDescent="0.25">
      <c r="B146" s="72" t="s">
        <v>184</v>
      </c>
      <c r="F146" s="7">
        <f>'Rates and GI'!D56+'Rates and GI'!D60</f>
        <v>1000</v>
      </c>
    </row>
    <row r="147" spans="1:8" x14ac:dyDescent="0.25">
      <c r="B147" s="72" t="s">
        <v>186</v>
      </c>
      <c r="F147" s="7">
        <f>'Rates and GI'!$D$65</f>
        <v>24.1465</v>
      </c>
      <c r="G147" s="7">
        <f>'Rates and GI'!$D$65</f>
        <v>24.1465</v>
      </c>
      <c r="H147" s="7">
        <f>'Rates and GI'!$D$65</f>
        <v>24.1465</v>
      </c>
    </row>
    <row r="148" spans="1:8" x14ac:dyDescent="0.25">
      <c r="B148" s="72" t="s">
        <v>185</v>
      </c>
      <c r="F148" s="7">
        <v>2</v>
      </c>
      <c r="G148" s="8">
        <v>2</v>
      </c>
      <c r="H148" s="8">
        <v>2</v>
      </c>
    </row>
    <row r="149" spans="1:8" x14ac:dyDescent="0.25">
      <c r="A149" s="58"/>
      <c r="B149" s="58"/>
      <c r="C149" s="58"/>
      <c r="D149" s="59"/>
      <c r="E149" s="60"/>
      <c r="F149" s="60"/>
      <c r="G149" s="60"/>
      <c r="H149" s="60"/>
    </row>
  </sheetData>
  <pageMargins left="0.7" right="0.7" top="0.75" bottom="0.75" header="0.3" footer="0.3"/>
  <pageSetup paperSize="9" scale="55" fitToHeight="0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149"/>
  <sheetViews>
    <sheetView topLeftCell="A19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7" customWidth="1"/>
    <col min="5" max="5" width="11.85546875" style="7" bestFit="1" customWidth="1"/>
    <col min="6" max="6" width="10.140625" style="7" bestFit="1" customWidth="1"/>
    <col min="7" max="7" width="10" style="8" bestFit="1" customWidth="1"/>
    <col min="8" max="8" width="10.28515625" style="8" bestFit="1" customWidth="1"/>
    <col min="9" max="16384" width="9.140625" style="6"/>
  </cols>
  <sheetData>
    <row r="1" spans="1:12" s="140" customFormat="1" ht="17.25" x14ac:dyDescent="0.3">
      <c r="A1" s="227">
        <v>22</v>
      </c>
      <c r="B1" s="228" t="s">
        <v>188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5169.12949603575</v>
      </c>
      <c r="E5" s="52">
        <f>E63</f>
        <v>1184.2250000000001</v>
      </c>
      <c r="F5" s="52">
        <f t="shared" ref="F5:H5" si="1">F63</f>
        <v>1235.146675</v>
      </c>
      <c r="G5" s="52">
        <f t="shared" si="1"/>
        <v>1345.9411752499998</v>
      </c>
      <c r="H5" s="52">
        <f t="shared" si="1"/>
        <v>1403.8166457857496</v>
      </c>
      <c r="I5" s="70"/>
    </row>
    <row r="6" spans="1:12" x14ac:dyDescent="0.25">
      <c r="B6" s="17" t="s">
        <v>191</v>
      </c>
      <c r="D6" s="52">
        <f t="shared" si="0"/>
        <v>10313.22192835374</v>
      </c>
      <c r="E6" s="52">
        <f>E67</f>
        <v>3269.6400000000003</v>
      </c>
      <c r="F6" s="52">
        <f t="shared" ref="F6:H6" si="2">F67</f>
        <v>3410.23452</v>
      </c>
      <c r="G6" s="52">
        <f t="shared" si="2"/>
        <v>1778.43730218</v>
      </c>
      <c r="H6" s="52">
        <f t="shared" si="2"/>
        <v>1854.9101061737397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15482.35142438949</v>
      </c>
      <c r="E7" s="55">
        <f>SUBTOTAL(9,E5:E6)</f>
        <v>4453.8650000000007</v>
      </c>
      <c r="F7" s="55">
        <f>SUBTOTAL(9,F5:F6)</f>
        <v>4645.3811949999999</v>
      </c>
      <c r="G7" s="55">
        <f>SUBTOTAL(9,G5:G6)</f>
        <v>3124.3784774299997</v>
      </c>
      <c r="H7" s="55">
        <f>SUBTOTAL(9,H5:H6)</f>
        <v>3258.7267519594893</v>
      </c>
      <c r="I7" s="70"/>
    </row>
    <row r="8" spans="1:12" ht="5.25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1823.3222366666669</v>
      </c>
      <c r="E10" s="52">
        <f>E87</f>
        <v>1823.3222366666669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1823.3222366666669</v>
      </c>
      <c r="E12" s="55">
        <f t="shared" ref="E12:H12" si="5">SUBTOTAL(9,E10:E11)</f>
        <v>1823.3222366666669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712.48985000000005</v>
      </c>
      <c r="E15" s="52">
        <f>E95</f>
        <v>712.48985000000005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712.48985000000005</v>
      </c>
      <c r="E17" s="55">
        <f t="shared" ref="E17:H17" si="8">SUBTOTAL(9,E15:E16)</f>
        <v>712.48985000000005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5.2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367.74</v>
      </c>
      <c r="E25" s="52">
        <f>E105</f>
        <v>180</v>
      </c>
      <c r="F25" s="52">
        <f t="shared" ref="F25:H25" si="13">F105</f>
        <v>187.73999999999998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190</v>
      </c>
      <c r="E26" s="52">
        <f>E130</f>
        <v>0</v>
      </c>
      <c r="F26" s="52">
        <f>F130</f>
        <v>190</v>
      </c>
      <c r="G26" s="52">
        <f>G130</f>
        <v>0</v>
      </c>
      <c r="H26" s="52">
        <f>H130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557.74</v>
      </c>
      <c r="E28" s="55">
        <f t="shared" ref="E28:H28" si="15">SUBTOTAL(9,E25:E27)</f>
        <v>180</v>
      </c>
      <c r="F28" s="55">
        <f t="shared" si="15"/>
        <v>377.74</v>
      </c>
      <c r="G28" s="55">
        <f t="shared" si="15"/>
        <v>0</v>
      </c>
      <c r="H28" s="55">
        <f t="shared" si="15"/>
        <v>0</v>
      </c>
    </row>
    <row r="29" spans="1:12" ht="6" customHeight="1" x14ac:dyDescent="0.25">
      <c r="D29" s="52"/>
      <c r="E29" s="52"/>
      <c r="F29" s="52"/>
      <c r="G29" s="44"/>
      <c r="H29" s="44"/>
    </row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4.5" customHeight="1" x14ac:dyDescent="0.25">
      <c r="A44" s="3"/>
      <c r="B44" s="6"/>
      <c r="C44" s="3"/>
      <c r="D44" s="52"/>
      <c r="E44" s="52"/>
      <c r="F44" s="52"/>
      <c r="G44" s="44"/>
      <c r="H44" s="44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1144.8789999999997</v>
      </c>
      <c r="E46" s="52">
        <f>E145</f>
        <v>0</v>
      </c>
      <c r="F46" s="52">
        <f t="shared" ref="F46:H46" si="21">F145</f>
        <v>1048.2929999999999</v>
      </c>
      <c r="G46" s="52">
        <f t="shared" si="21"/>
        <v>48.292999999999999</v>
      </c>
      <c r="H46" s="52">
        <f t="shared" si="21"/>
        <v>48.292999999999999</v>
      </c>
    </row>
    <row r="47" spans="1:12" x14ac:dyDescent="0.25">
      <c r="A47" s="3"/>
      <c r="B47" s="3" t="s">
        <v>21</v>
      </c>
      <c r="C47" s="3"/>
      <c r="D47" s="52">
        <f t="shared" si="20"/>
        <v>8750</v>
      </c>
      <c r="E47" s="52">
        <f>E135</f>
        <v>700</v>
      </c>
      <c r="F47" s="52">
        <f t="shared" ref="F47:H47" si="22">F135</f>
        <v>2750</v>
      </c>
      <c r="G47" s="52">
        <f t="shared" si="22"/>
        <v>3400</v>
      </c>
      <c r="H47" s="52">
        <f t="shared" si="22"/>
        <v>1900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9894.878999999999</v>
      </c>
      <c r="E48" s="55">
        <f>SUBTOTAL(9,E46:E47)</f>
        <v>700</v>
      </c>
      <c r="F48" s="55">
        <f>SUBTOTAL(9,F46:F47)</f>
        <v>3798.2929999999997</v>
      </c>
      <c r="G48" s="55">
        <f>SUBTOTAL(9,G46:G47)</f>
        <v>3448.2930000000001</v>
      </c>
      <c r="H48" s="55">
        <f>SUBTOTAL(9,H46:H47)</f>
        <v>1948.2929999999999</v>
      </c>
    </row>
    <row r="49" spans="1:8" ht="5.25" customHeight="1" x14ac:dyDescent="0.25">
      <c r="A49" s="1"/>
      <c r="B49" s="1"/>
      <c r="C49" s="1"/>
      <c r="D49" s="52"/>
      <c r="E49" s="52"/>
      <c r="F49" s="52"/>
      <c r="G49" s="44"/>
      <c r="H49" s="44"/>
    </row>
    <row r="50" spans="1:8" ht="14.25" thickBot="1" x14ac:dyDescent="0.3">
      <c r="A50" s="56"/>
      <c r="B50" s="56" t="s">
        <v>160</v>
      </c>
      <c r="C50" s="56"/>
      <c r="D50" s="57">
        <f>SUBTOTAL(9,D5:D48)</f>
        <v>28470.782511056161</v>
      </c>
      <c r="E50" s="57">
        <f>SUBTOTAL(9,E5:E48)</f>
        <v>7869.6770866666675</v>
      </c>
      <c r="F50" s="57">
        <f>SUBTOTAL(9,F5:F48)</f>
        <v>8821.4141949999994</v>
      </c>
      <c r="G50" s="57">
        <f>SUBTOTAL(9,G5:G48)</f>
        <v>6572.6714774299999</v>
      </c>
      <c r="H50" s="57">
        <f>SUBTOTAL(9,H5:H48)</f>
        <v>5207.0197519594894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59"/>
      <c r="E56" s="59"/>
      <c r="F56" s="59"/>
      <c r="G56" s="59"/>
      <c r="H56" s="59"/>
    </row>
    <row r="57" spans="1:8" hidden="1" x14ac:dyDescent="0.25">
      <c r="B57" s="5" t="s">
        <v>2</v>
      </c>
      <c r="D57" s="36"/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D58" s="36"/>
      <c r="E58" s="52">
        <v>0</v>
      </c>
      <c r="F58" s="52"/>
      <c r="G58" s="44"/>
      <c r="H58" s="44"/>
    </row>
    <row r="59" spans="1:8" hidden="1" x14ac:dyDescent="0.25">
      <c r="A59" s="9"/>
      <c r="B59" s="9" t="s">
        <v>38</v>
      </c>
      <c r="C59" s="9"/>
      <c r="D59" s="37"/>
      <c r="E59" s="53">
        <v>0</v>
      </c>
      <c r="F59" s="52"/>
      <c r="G59" s="44"/>
      <c r="H59" s="44"/>
    </row>
    <row r="60" spans="1:8" hidden="1" x14ac:dyDescent="0.25">
      <c r="A60" s="9"/>
      <c r="B60" s="9" t="s">
        <v>39</v>
      </c>
      <c r="C60" s="9"/>
      <c r="D60" s="36"/>
      <c r="E60" s="52">
        <v>0</v>
      </c>
      <c r="F60" s="52"/>
      <c r="G60" s="44"/>
      <c r="H60" s="44"/>
    </row>
    <row r="61" spans="1:8" hidden="1" x14ac:dyDescent="0.25">
      <c r="A61" s="9"/>
      <c r="B61" s="9" t="s">
        <v>40</v>
      </c>
      <c r="C61" s="9"/>
      <c r="D61" s="36"/>
      <c r="E61" s="54">
        <v>0</v>
      </c>
      <c r="F61" s="52"/>
      <c r="G61" s="44"/>
      <c r="H61" s="44"/>
    </row>
    <row r="62" spans="1:8" hidden="1" x14ac:dyDescent="0.25">
      <c r="A62" s="9"/>
      <c r="B62" s="9"/>
      <c r="C62" s="9"/>
      <c r="D62" s="36"/>
      <c r="E62" s="52"/>
      <c r="F62" s="52"/>
      <c r="G62" s="44"/>
      <c r="H62" s="44"/>
    </row>
    <row r="63" spans="1:8" x14ac:dyDescent="0.25">
      <c r="B63" s="5" t="s">
        <v>23</v>
      </c>
      <c r="D63" s="36"/>
      <c r="E63" s="52">
        <f>E64*E65</f>
        <v>1184.2250000000001</v>
      </c>
      <c r="F63" s="52">
        <f t="shared" ref="F63:H63" si="23">F64*F65</f>
        <v>1235.146675</v>
      </c>
      <c r="G63" s="52">
        <f t="shared" si="23"/>
        <v>1345.9411752499998</v>
      </c>
      <c r="H63" s="52">
        <f t="shared" si="23"/>
        <v>1403.8166457857496</v>
      </c>
    </row>
    <row r="64" spans="1:8" x14ac:dyDescent="0.25">
      <c r="A64" s="9"/>
      <c r="B64" s="9" t="s">
        <v>129</v>
      </c>
      <c r="C64" s="9" t="s">
        <v>128</v>
      </c>
      <c r="D64" s="36"/>
      <c r="E64" s="52">
        <v>67</v>
      </c>
      <c r="F64" s="52">
        <v>67</v>
      </c>
      <c r="G64" s="52">
        <v>70</v>
      </c>
      <c r="H64" s="52">
        <v>70</v>
      </c>
    </row>
    <row r="65" spans="1:12" x14ac:dyDescent="0.25">
      <c r="A65" s="9"/>
      <c r="B65" s="9" t="s">
        <v>41</v>
      </c>
      <c r="C65" s="9"/>
      <c r="D65" s="36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x14ac:dyDescent="0.25">
      <c r="D66" s="36"/>
      <c r="E66" s="36"/>
      <c r="F66" s="36"/>
      <c r="G66" s="29"/>
      <c r="H66" s="29"/>
    </row>
    <row r="67" spans="1:12" s="7" customFormat="1" x14ac:dyDescent="0.25">
      <c r="A67" s="5"/>
      <c r="B67" s="5" t="s">
        <v>191</v>
      </c>
      <c r="C67" s="5"/>
      <c r="D67" s="36"/>
      <c r="E67" s="52">
        <f>E68*E69</f>
        <v>3269.6400000000003</v>
      </c>
      <c r="F67" s="52">
        <f t="shared" ref="F67:H67" si="24">F68*F69</f>
        <v>3410.23452</v>
      </c>
      <c r="G67" s="52">
        <f t="shared" si="24"/>
        <v>1778.43730218</v>
      </c>
      <c r="H67" s="52">
        <f t="shared" si="24"/>
        <v>1854.9101061737397</v>
      </c>
      <c r="I67" s="70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36"/>
      <c r="E68" s="52">
        <v>20</v>
      </c>
      <c r="F68" s="52">
        <v>20</v>
      </c>
      <c r="G68" s="44">
        <v>10</v>
      </c>
      <c r="H68" s="44">
        <v>10</v>
      </c>
      <c r="I68" s="70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36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>
      <c r="D70" s="36"/>
      <c r="E70" s="36"/>
      <c r="F70" s="36"/>
      <c r="G70" s="29"/>
      <c r="H70" s="29"/>
    </row>
    <row r="71" spans="1:12" s="7" customFormat="1" hidden="1" x14ac:dyDescent="0.25">
      <c r="A71" s="5"/>
      <c r="B71" s="5" t="s">
        <v>1</v>
      </c>
      <c r="C71" s="5"/>
      <c r="D71" s="36"/>
      <c r="E71" s="36"/>
      <c r="F71" s="36"/>
      <c r="G71" s="29"/>
      <c r="H71" s="29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36"/>
      <c r="E72" s="52">
        <v>0</v>
      </c>
      <c r="F72" s="36"/>
      <c r="G72" s="29"/>
      <c r="H72" s="29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36"/>
      <c r="E73" s="52">
        <v>0</v>
      </c>
      <c r="F73" s="36"/>
      <c r="G73" s="29"/>
      <c r="H73" s="29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36"/>
      <c r="E74" s="52">
        <v>0</v>
      </c>
      <c r="F74" s="36"/>
      <c r="G74" s="29"/>
      <c r="H74" s="29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36"/>
      <c r="E75" s="52">
        <v>0</v>
      </c>
      <c r="F75" s="36"/>
      <c r="G75" s="29"/>
      <c r="H75" s="29"/>
      <c r="I75" s="6"/>
      <c r="J75" s="6"/>
      <c r="K75" s="6"/>
      <c r="L75" s="6"/>
    </row>
    <row r="76" spans="1:12" hidden="1" x14ac:dyDescent="0.25">
      <c r="D76" s="36"/>
      <c r="E76" s="52"/>
      <c r="F76" s="36"/>
      <c r="G76" s="29"/>
      <c r="H76" s="29"/>
    </row>
    <row r="77" spans="1:12" s="7" customFormat="1" hidden="1" x14ac:dyDescent="0.25">
      <c r="A77" s="5"/>
      <c r="B77" s="5" t="s">
        <v>3</v>
      </c>
      <c r="C77" s="5"/>
      <c r="D77" s="36"/>
      <c r="E77" s="52"/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36"/>
      <c r="E78" s="52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36"/>
      <c r="E79" s="52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>
      <c r="D80" s="36"/>
      <c r="E80" s="52"/>
      <c r="F80" s="36"/>
      <c r="G80" s="29"/>
      <c r="H80" s="29"/>
    </row>
    <row r="81" spans="1:12" s="7" customFormat="1" hidden="1" x14ac:dyDescent="0.25">
      <c r="A81" s="5"/>
      <c r="B81" s="5" t="s">
        <v>4</v>
      </c>
      <c r="C81" s="5"/>
      <c r="D81" s="36"/>
      <c r="E81" s="52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36"/>
      <c r="E82" s="52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36"/>
      <c r="E83" s="52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>
      <c r="D84" s="36"/>
      <c r="E84" s="52"/>
      <c r="F84" s="36"/>
      <c r="G84" s="29"/>
      <c r="H84" s="29"/>
    </row>
    <row r="85" spans="1:12" s="7" customFormat="1" hidden="1" x14ac:dyDescent="0.25">
      <c r="A85" s="9"/>
      <c r="B85" s="9" t="s">
        <v>40</v>
      </c>
      <c r="C85" s="9"/>
      <c r="D85" s="36"/>
      <c r="E85" s="39"/>
      <c r="F85" s="36"/>
      <c r="G85" s="29"/>
      <c r="H85" s="29"/>
      <c r="I85" s="6"/>
      <c r="J85" s="6"/>
      <c r="K85" s="6"/>
      <c r="L85" s="6"/>
    </row>
    <row r="86" spans="1:12" x14ac:dyDescent="0.25">
      <c r="D86" s="36"/>
      <c r="E86" s="36"/>
      <c r="F86" s="36"/>
      <c r="G86" s="29"/>
      <c r="H86" s="29"/>
    </row>
    <row r="87" spans="1:12" x14ac:dyDescent="0.25">
      <c r="A87" s="58"/>
      <c r="B87" s="58" t="s">
        <v>10</v>
      </c>
      <c r="C87" s="58"/>
      <c r="D87" s="59"/>
      <c r="E87" s="60">
        <f>E88*E89+E91*E92</f>
        <v>1823.3222366666669</v>
      </c>
      <c r="F87" s="60">
        <f t="shared" ref="F87:H87" si="25">F88*F89+F91*F92</f>
        <v>0</v>
      </c>
      <c r="G87" s="60">
        <f t="shared" si="25"/>
        <v>0</v>
      </c>
      <c r="H87" s="60">
        <f t="shared" si="25"/>
        <v>0</v>
      </c>
    </row>
    <row r="88" spans="1:12" s="7" customFormat="1" x14ac:dyDescent="0.25">
      <c r="A88" s="5"/>
      <c r="B88" s="9" t="s">
        <v>50</v>
      </c>
      <c r="C88" s="5"/>
      <c r="D88" s="36"/>
      <c r="E88" s="52">
        <v>2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x14ac:dyDescent="0.25">
      <c r="A89" s="5"/>
      <c r="B89" s="9" t="s">
        <v>51</v>
      </c>
      <c r="C89" s="5"/>
      <c r="D89" s="36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>
      <c r="D90" s="36"/>
      <c r="E90" s="52"/>
      <c r="F90" s="52"/>
      <c r="G90" s="44"/>
      <c r="H90" s="44"/>
    </row>
    <row r="91" spans="1:12" s="7" customFormat="1" hidden="1" x14ac:dyDescent="0.25">
      <c r="A91" s="5"/>
      <c r="B91" s="9" t="s">
        <v>52</v>
      </c>
      <c r="C91" s="5"/>
      <c r="D91" s="36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36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>
      <c r="D93" s="36"/>
      <c r="E93" s="52"/>
      <c r="F93" s="52"/>
      <c r="G93" s="44"/>
      <c r="H93" s="44"/>
    </row>
    <row r="94" spans="1:12" x14ac:dyDescent="0.25">
      <c r="D94" s="36"/>
      <c r="E94" s="52"/>
      <c r="F94" s="52"/>
      <c r="G94" s="44"/>
      <c r="H94" s="44"/>
    </row>
    <row r="95" spans="1:12" x14ac:dyDescent="0.25">
      <c r="A95" s="58"/>
      <c r="B95" s="58" t="s">
        <v>194</v>
      </c>
      <c r="C95" s="58"/>
      <c r="D95" s="59"/>
      <c r="E95" s="60">
        <f>E96*E97</f>
        <v>712.48985000000005</v>
      </c>
      <c r="F95" s="60">
        <f t="shared" ref="F95:H95" si="26">F96*F97</f>
        <v>0</v>
      </c>
      <c r="G95" s="60">
        <f t="shared" si="26"/>
        <v>0</v>
      </c>
      <c r="H95" s="60">
        <f t="shared" si="26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36"/>
      <c r="E96" s="52">
        <v>1</v>
      </c>
      <c r="F96" s="52"/>
      <c r="G96" s="52">
        <v>0</v>
      </c>
      <c r="H96" s="52">
        <v>0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36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>
      <c r="D98" s="36"/>
      <c r="E98" s="52"/>
      <c r="F98" s="52"/>
      <c r="G98" s="44"/>
      <c r="H98" s="44"/>
    </row>
    <row r="99" spans="1:12" hidden="1" x14ac:dyDescent="0.25">
      <c r="A99" s="58"/>
      <c r="B99" s="58" t="s">
        <v>148</v>
      </c>
      <c r="C99" s="58"/>
      <c r="D99" s="59"/>
      <c r="E99" s="60">
        <f>E100*E101+E102*E103</f>
        <v>0</v>
      </c>
      <c r="F99" s="60">
        <f t="shared" ref="F99:H99" si="27">F100*F101+F102*F103</f>
        <v>0</v>
      </c>
      <c r="G99" s="60">
        <f t="shared" si="27"/>
        <v>0</v>
      </c>
      <c r="H99" s="60">
        <f t="shared" si="27"/>
        <v>0</v>
      </c>
    </row>
    <row r="100" spans="1:12" hidden="1" x14ac:dyDescent="0.25">
      <c r="B100" s="45" t="s">
        <v>149</v>
      </c>
      <c r="C100" s="5" t="s">
        <v>150</v>
      </c>
      <c r="D100" s="36"/>
      <c r="E100" s="52"/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D101" s="36"/>
      <c r="E101" s="52"/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D102" s="36"/>
      <c r="E102" s="52"/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D103" s="36"/>
      <c r="E103" s="52">
        <v>0</v>
      </c>
      <c r="F103" s="52">
        <v>0</v>
      </c>
      <c r="G103" s="52">
        <v>0</v>
      </c>
      <c r="H103" s="52">
        <v>0</v>
      </c>
    </row>
    <row r="104" spans="1:12" x14ac:dyDescent="0.25">
      <c r="B104" s="45"/>
      <c r="D104" s="36"/>
      <c r="E104" s="52"/>
      <c r="F104" s="52"/>
      <c r="G104" s="44"/>
      <c r="H104" s="44"/>
    </row>
    <row r="105" spans="1:12" x14ac:dyDescent="0.25">
      <c r="A105" s="58"/>
      <c r="B105" s="58" t="s">
        <v>24</v>
      </c>
      <c r="C105" s="58"/>
      <c r="D105" s="59"/>
      <c r="E105" s="60">
        <f>E106*E107</f>
        <v>180</v>
      </c>
      <c r="F105" s="60">
        <f t="shared" ref="F105:H105" si="29">F106*F107</f>
        <v>187.73999999999998</v>
      </c>
      <c r="G105" s="60">
        <f t="shared" si="29"/>
        <v>0</v>
      </c>
      <c r="H105" s="60">
        <f t="shared" si="29"/>
        <v>0</v>
      </c>
    </row>
    <row r="106" spans="1:12" s="7" customFormat="1" x14ac:dyDescent="0.25">
      <c r="A106" s="5"/>
      <c r="B106" s="45" t="s">
        <v>54</v>
      </c>
      <c r="C106" s="5"/>
      <c r="D106" s="36"/>
      <c r="E106" s="52">
        <v>30</v>
      </c>
      <c r="F106" s="52">
        <v>30</v>
      </c>
      <c r="G106" s="52"/>
      <c r="H106" s="52"/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36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x14ac:dyDescent="0.25">
      <c r="D108" s="36"/>
      <c r="E108" s="52"/>
      <c r="F108" s="52"/>
      <c r="G108" s="44"/>
      <c r="H108" s="44"/>
    </row>
    <row r="109" spans="1:12" hidden="1" x14ac:dyDescent="0.25">
      <c r="A109" s="58"/>
      <c r="B109" s="58" t="s">
        <v>7</v>
      </c>
      <c r="C109" s="58"/>
      <c r="D109" s="59"/>
      <c r="E109" s="59"/>
      <c r="F109" s="59"/>
      <c r="G109" s="59"/>
      <c r="H109" s="59"/>
    </row>
    <row r="110" spans="1:12" s="7" customFormat="1" hidden="1" x14ac:dyDescent="0.25">
      <c r="A110" s="5"/>
      <c r="B110" s="4" t="s">
        <v>58</v>
      </c>
      <c r="C110" s="5"/>
      <c r="D110" s="36"/>
      <c r="E110" s="36"/>
      <c r="F110" s="36"/>
      <c r="G110" s="29"/>
      <c r="H110" s="29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48"/>
      <c r="E111" s="48"/>
      <c r="F111" s="48"/>
      <c r="G111" s="49"/>
      <c r="H111" s="49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48"/>
      <c r="E112" s="48"/>
      <c r="F112" s="48"/>
      <c r="G112" s="49"/>
      <c r="H112" s="49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48"/>
      <c r="E113" s="48"/>
      <c r="F113" s="48"/>
      <c r="G113" s="49"/>
      <c r="H113" s="49"/>
      <c r="I113" s="50"/>
      <c r="J113" s="50"/>
      <c r="K113" s="50"/>
      <c r="L113" s="50"/>
    </row>
    <row r="114" spans="1:12" hidden="1" x14ac:dyDescent="0.25">
      <c r="D114" s="36"/>
      <c r="E114" s="36"/>
      <c r="F114" s="36"/>
      <c r="G114" s="29"/>
      <c r="H114" s="29"/>
    </row>
    <row r="115" spans="1:12" hidden="1" x14ac:dyDescent="0.25">
      <c r="A115" s="58"/>
      <c r="B115" s="58" t="s">
        <v>26</v>
      </c>
      <c r="C115" s="58"/>
      <c r="D115" s="59"/>
      <c r="E115" s="59"/>
      <c r="F115" s="59"/>
      <c r="G115" s="59"/>
      <c r="H115" s="59"/>
    </row>
    <row r="116" spans="1:12" s="5" customFormat="1" hidden="1" x14ac:dyDescent="0.25">
      <c r="B116" s="63" t="s">
        <v>61</v>
      </c>
      <c r="D116" s="36"/>
      <c r="E116" s="36"/>
      <c r="F116" s="36"/>
      <c r="G116" s="29"/>
      <c r="H116" s="29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36"/>
      <c r="E117" s="36"/>
      <c r="F117" s="36"/>
      <c r="G117" s="29"/>
      <c r="H117" s="29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36"/>
      <c r="E118" s="36"/>
      <c r="F118" s="36"/>
      <c r="G118" s="29"/>
      <c r="H118" s="29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36"/>
      <c r="E119" s="36"/>
      <c r="F119" s="36"/>
      <c r="G119" s="29"/>
      <c r="H119" s="29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hidden="1" x14ac:dyDescent="0.25">
      <c r="D125" s="36"/>
      <c r="E125" s="36"/>
      <c r="F125" s="36"/>
      <c r="G125" s="29"/>
      <c r="H125" s="29"/>
    </row>
    <row r="126" spans="1:12" x14ac:dyDescent="0.25">
      <c r="A126" s="58"/>
      <c r="B126" s="58" t="s">
        <v>25</v>
      </c>
      <c r="C126" s="58"/>
      <c r="D126" s="59"/>
      <c r="E126" s="59"/>
      <c r="F126" s="59"/>
      <c r="G126" s="59"/>
      <c r="H126" s="59"/>
    </row>
    <row r="127" spans="1:12" s="5" customFormat="1" hidden="1" x14ac:dyDescent="0.25">
      <c r="B127" s="47" t="s">
        <v>64</v>
      </c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s="5" customFormat="1" x14ac:dyDescent="0.25">
      <c r="B130" s="5" t="s">
        <v>173</v>
      </c>
      <c r="D130" s="36"/>
      <c r="E130" s="52">
        <f>E131+E132*E133</f>
        <v>0</v>
      </c>
      <c r="F130" s="52">
        <f t="shared" ref="F130:H130" si="30">F131+F132*F133</f>
        <v>190</v>
      </c>
      <c r="G130" s="52">
        <f t="shared" si="30"/>
        <v>0</v>
      </c>
      <c r="H130" s="52">
        <f t="shared" si="30"/>
        <v>0</v>
      </c>
    </row>
    <row r="131" spans="1:12" x14ac:dyDescent="0.25">
      <c r="B131" s="47" t="s">
        <v>172</v>
      </c>
      <c r="D131" s="36"/>
      <c r="E131" s="52"/>
      <c r="F131" s="52">
        <f>'Rates and GI'!D57</f>
        <v>150</v>
      </c>
      <c r="G131" s="44"/>
      <c r="H131" s="44"/>
    </row>
    <row r="132" spans="1:12" x14ac:dyDescent="0.25">
      <c r="B132" s="47" t="s">
        <v>178</v>
      </c>
      <c r="D132" s="36"/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x14ac:dyDescent="0.25">
      <c r="B133" s="47" t="s">
        <v>179</v>
      </c>
      <c r="D133" s="36"/>
      <c r="E133" s="52">
        <v>0</v>
      </c>
      <c r="F133" s="52">
        <v>2000</v>
      </c>
      <c r="G133" s="52"/>
      <c r="H133" s="52"/>
    </row>
    <row r="134" spans="1:12" s="5" customFormat="1" x14ac:dyDescent="0.25">
      <c r="B134" s="47"/>
      <c r="D134" s="36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59"/>
      <c r="E135" s="60">
        <f>E136*E137+E138*E139++E140*E141+E142*E143</f>
        <v>700</v>
      </c>
      <c r="F135" s="60">
        <f t="shared" ref="F135:H135" si="31">F136*F137+F138*F139++F140*F141+F142*F143</f>
        <v>2750</v>
      </c>
      <c r="G135" s="60">
        <f t="shared" si="31"/>
        <v>3400</v>
      </c>
      <c r="H135" s="60">
        <f t="shared" si="31"/>
        <v>1900</v>
      </c>
    </row>
    <row r="136" spans="1:12" hidden="1" x14ac:dyDescent="0.25">
      <c r="B136" s="47" t="s">
        <v>169</v>
      </c>
      <c r="D136" s="36"/>
      <c r="E136" s="52"/>
      <c r="F136" s="52"/>
      <c r="G136" s="52"/>
      <c r="H136" s="52"/>
    </row>
    <row r="137" spans="1:12" hidden="1" x14ac:dyDescent="0.25">
      <c r="B137" s="47" t="s">
        <v>170</v>
      </c>
      <c r="D137" s="36"/>
      <c r="E137" s="52"/>
      <c r="F137" s="52"/>
      <c r="G137" s="52"/>
      <c r="H137" s="52"/>
    </row>
    <row r="138" spans="1:12" x14ac:dyDescent="0.25">
      <c r="B138" s="47" t="s">
        <v>167</v>
      </c>
      <c r="D138" s="36"/>
      <c r="E138" s="52"/>
      <c r="F138" s="52">
        <v>1</v>
      </c>
      <c r="G138" s="52">
        <v>1</v>
      </c>
      <c r="H138" s="52"/>
    </row>
    <row r="139" spans="1:12" x14ac:dyDescent="0.25">
      <c r="B139" s="47" t="s">
        <v>168</v>
      </c>
      <c r="D139" s="36"/>
      <c r="E139" s="52"/>
      <c r="F139" s="52">
        <f>'Rates and GI'!$D$70</f>
        <v>1500</v>
      </c>
      <c r="G139" s="52">
        <f>'Rates and GI'!$D$70</f>
        <v>1500</v>
      </c>
      <c r="H139" s="52"/>
    </row>
    <row r="140" spans="1:12" ht="27" x14ac:dyDescent="0.25">
      <c r="B140" s="71" t="s">
        <v>183</v>
      </c>
      <c r="D140" s="36"/>
      <c r="E140" s="52">
        <v>3</v>
      </c>
      <c r="F140" s="52">
        <v>5</v>
      </c>
      <c r="G140" s="52">
        <v>7</v>
      </c>
      <c r="H140" s="52">
        <v>7</v>
      </c>
    </row>
    <row r="141" spans="1:12" ht="27" x14ac:dyDescent="0.25">
      <c r="B141" s="71" t="s">
        <v>182</v>
      </c>
      <c r="D141" s="36"/>
      <c r="E141" s="52">
        <f>'Rates and GI'!$D$71</f>
        <v>200</v>
      </c>
      <c r="F141" s="52">
        <f>'Rates and GI'!$D$71</f>
        <v>200</v>
      </c>
      <c r="G141" s="52">
        <f>'Rates and GI'!$D$71</f>
        <v>200</v>
      </c>
      <c r="H141" s="52">
        <f>'Rates and GI'!$D$71</f>
        <v>200</v>
      </c>
    </row>
    <row r="142" spans="1:12" s="5" customFormat="1" x14ac:dyDescent="0.25">
      <c r="B142" s="47" t="s">
        <v>354</v>
      </c>
      <c r="D142" s="36"/>
      <c r="E142" s="52">
        <v>2</v>
      </c>
      <c r="F142" s="52">
        <v>5</v>
      </c>
      <c r="G142" s="44">
        <v>10</v>
      </c>
      <c r="H142" s="44">
        <v>10</v>
      </c>
      <c r="I142" s="6"/>
      <c r="J142" s="6"/>
      <c r="K142" s="6"/>
      <c r="L142" s="6"/>
    </row>
    <row r="143" spans="1:12" s="5" customFormat="1" x14ac:dyDescent="0.25">
      <c r="B143" s="47" t="s">
        <v>349</v>
      </c>
      <c r="D143" s="36"/>
      <c r="E143" s="52">
        <f>'Rates and GI'!$D$72</f>
        <v>50</v>
      </c>
      <c r="F143" s="52">
        <f>'Rates and GI'!$D$72</f>
        <v>50</v>
      </c>
      <c r="G143" s="52">
        <f>'Rates and GI'!$D$72</f>
        <v>50</v>
      </c>
      <c r="H143" s="52">
        <f>'Rates and GI'!$D$72</f>
        <v>50</v>
      </c>
      <c r="I143" s="6"/>
      <c r="J143" s="6"/>
      <c r="K143" s="6"/>
      <c r="L143" s="6"/>
    </row>
    <row r="144" spans="1:12" x14ac:dyDescent="0.25">
      <c r="D144" s="36"/>
      <c r="E144" s="36"/>
      <c r="F144" s="36"/>
      <c r="G144" s="29"/>
      <c r="H144" s="29"/>
    </row>
    <row r="145" spans="1:8" x14ac:dyDescent="0.25">
      <c r="A145" s="58"/>
      <c r="B145" s="58" t="s">
        <v>15</v>
      </c>
      <c r="C145" s="58"/>
      <c r="D145" s="59"/>
      <c r="E145" s="60">
        <f>E146+E147*E148</f>
        <v>0</v>
      </c>
      <c r="F145" s="60">
        <f t="shared" ref="F145:H145" si="32">F146+F147*F148</f>
        <v>1048.2929999999999</v>
      </c>
      <c r="G145" s="60">
        <f t="shared" si="32"/>
        <v>48.292999999999999</v>
      </c>
      <c r="H145" s="60">
        <f t="shared" si="32"/>
        <v>48.292999999999999</v>
      </c>
    </row>
    <row r="146" spans="1:8" x14ac:dyDescent="0.25">
      <c r="B146" s="72" t="s">
        <v>184</v>
      </c>
      <c r="F146" s="7">
        <f>'Rates and GI'!D56+'Rates and GI'!D60</f>
        <v>1000</v>
      </c>
    </row>
    <row r="147" spans="1:8" x14ac:dyDescent="0.25">
      <c r="B147" s="72" t="s">
        <v>186</v>
      </c>
      <c r="F147" s="7">
        <f>'Rates and GI'!$D$65</f>
        <v>24.1465</v>
      </c>
      <c r="G147" s="7">
        <f>'Rates and GI'!$D$65</f>
        <v>24.1465</v>
      </c>
      <c r="H147" s="7">
        <f>'Rates and GI'!$D$65</f>
        <v>24.1465</v>
      </c>
    </row>
    <row r="148" spans="1:8" x14ac:dyDescent="0.25">
      <c r="B148" s="72" t="s">
        <v>185</v>
      </c>
      <c r="F148" s="7">
        <v>2</v>
      </c>
      <c r="G148" s="8">
        <v>2</v>
      </c>
      <c r="H148" s="8">
        <v>2</v>
      </c>
    </row>
    <row r="149" spans="1:8" x14ac:dyDescent="0.25">
      <c r="A149" s="58"/>
      <c r="B149" s="58"/>
      <c r="C149" s="58"/>
      <c r="D149" s="59"/>
      <c r="E149" s="60"/>
      <c r="F149" s="60"/>
      <c r="G149" s="60"/>
      <c r="H149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184"/>
  <sheetViews>
    <sheetView topLeftCell="A16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36" customWidth="1"/>
    <col min="5" max="5" width="11.85546875" style="36" bestFit="1" customWidth="1"/>
    <col min="6" max="6" width="10.140625" style="36" bestFit="1" customWidth="1"/>
    <col min="7" max="7" width="10" style="29" bestFit="1" customWidth="1"/>
    <col min="8" max="8" width="10.28515625" style="29" bestFit="1" customWidth="1"/>
    <col min="9" max="16384" width="9.140625" style="6"/>
  </cols>
  <sheetData>
    <row r="1" spans="1:12" s="140" customFormat="1" ht="17.25" x14ac:dyDescent="0.3">
      <c r="A1" s="227">
        <v>24</v>
      </c>
      <c r="B1" s="228" t="s">
        <v>305</v>
      </c>
      <c r="C1" s="227"/>
      <c r="D1" s="229"/>
      <c r="E1" s="229"/>
      <c r="F1" s="229"/>
      <c r="G1" s="230"/>
      <c r="H1" s="230"/>
    </row>
    <row r="2" spans="1:12" x14ac:dyDescent="0.25">
      <c r="D2" s="52"/>
      <c r="E2" s="52"/>
      <c r="F2" s="52"/>
      <c r="G2" s="44"/>
      <c r="H2" s="44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2777.2517988857244</v>
      </c>
      <c r="E5" s="52">
        <f>E67</f>
        <v>0</v>
      </c>
      <c r="F5" s="52">
        <f t="shared" ref="F5:H5" si="1">F67</f>
        <v>1548.5420999999999</v>
      </c>
      <c r="G5" s="52">
        <f t="shared" si="1"/>
        <v>807.5647051499999</v>
      </c>
      <c r="H5" s="52">
        <f t="shared" si="1"/>
        <v>421.14499373572494</v>
      </c>
      <c r="I5" s="70"/>
    </row>
    <row r="6" spans="1:12" x14ac:dyDescent="0.25">
      <c r="B6" s="17" t="s">
        <v>191</v>
      </c>
      <c r="D6" s="52">
        <f t="shared" si="0"/>
        <v>18964.455519940853</v>
      </c>
      <c r="E6" s="52">
        <f>E71</f>
        <v>0</v>
      </c>
      <c r="F6" s="52">
        <f t="shared" ref="F6:H6" si="2">F71</f>
        <v>9378.1449300000004</v>
      </c>
      <c r="G6" s="52">
        <f t="shared" si="2"/>
        <v>5690.9993669759997</v>
      </c>
      <c r="H6" s="52">
        <f t="shared" si="2"/>
        <v>3895.3112229648536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21741.707318826579</v>
      </c>
      <c r="E7" s="55">
        <f>SUBTOTAL(9,E5:E6)</f>
        <v>0</v>
      </c>
      <c r="F7" s="55">
        <f>SUBTOTAL(9,F5:F6)</f>
        <v>10926.687030000001</v>
      </c>
      <c r="G7" s="55">
        <f>SUBTOTAL(9,G5:G6)</f>
        <v>6498.5640721259997</v>
      </c>
      <c r="H7" s="55">
        <f>SUBTOTAL(9,H5:H6)</f>
        <v>4316.4562167005788</v>
      </c>
      <c r="I7" s="70"/>
    </row>
    <row r="8" spans="1:12" ht="4.5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4558.3055916666672</v>
      </c>
      <c r="E10" s="52">
        <f>E91</f>
        <v>0</v>
      </c>
      <c r="F10" s="52">
        <f t="shared" ref="F10:H10" si="4">F91</f>
        <v>2734.9833550000003</v>
      </c>
      <c r="G10" s="52">
        <f t="shared" si="4"/>
        <v>0</v>
      </c>
      <c r="H10" s="52">
        <f t="shared" si="4"/>
        <v>1823.3222366666669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4558.3055916666672</v>
      </c>
      <c r="E12" s="55">
        <f t="shared" ref="E12:H12" si="5">SUBTOTAL(9,E10:E11)</f>
        <v>0</v>
      </c>
      <c r="F12" s="55">
        <f t="shared" si="5"/>
        <v>2734.9833550000003</v>
      </c>
      <c r="G12" s="55">
        <f t="shared" si="5"/>
        <v>0</v>
      </c>
      <c r="H12" s="55">
        <f t="shared" si="5"/>
        <v>1823.3222366666669</v>
      </c>
      <c r="I12" s="70"/>
    </row>
    <row r="13" spans="1:12" ht="6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2326.618154161104</v>
      </c>
      <c r="E15" s="52">
        <f>E99</f>
        <v>0</v>
      </c>
      <c r="F15" s="52">
        <f t="shared" ref="F15:H15" si="7">F99</f>
        <v>743.12691355000004</v>
      </c>
      <c r="G15" s="52">
        <f t="shared" si="7"/>
        <v>775.08137083265001</v>
      </c>
      <c r="H15" s="52">
        <f t="shared" si="7"/>
        <v>808.40986977845387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2326.618154161104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808.40986977845387</v>
      </c>
      <c r="I17" s="70"/>
    </row>
    <row r="18" spans="1:12" ht="6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163.48200000000003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163.48200000000003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163.48200000000003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163.48200000000003</v>
      </c>
    </row>
    <row r="23" spans="1:12" ht="4.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387.76279562999991</v>
      </c>
      <c r="E25" s="52">
        <f>E111</f>
        <v>0</v>
      </c>
      <c r="F25" s="52">
        <f t="shared" ref="F25:H25" si="13">F111</f>
        <v>187.73999999999998</v>
      </c>
      <c r="G25" s="52">
        <f t="shared" si="13"/>
        <v>97.90640999999998</v>
      </c>
      <c r="H25" s="52">
        <f t="shared" si="13"/>
        <v>102.11638562999998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E136</f>
        <v>0</v>
      </c>
      <c r="F26" s="52">
        <f>F136</f>
        <v>0</v>
      </c>
      <c r="G26" s="52">
        <f>G136</f>
        <v>0</v>
      </c>
      <c r="H26" s="52">
        <f>H136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387.76279562999991</v>
      </c>
      <c r="E28" s="55">
        <f t="shared" ref="E28:H28" si="15">SUBTOTAL(9,E25:E27)</f>
        <v>0</v>
      </c>
      <c r="F28" s="55">
        <f t="shared" si="15"/>
        <v>187.73999999999998</v>
      </c>
      <c r="G28" s="55">
        <f t="shared" si="15"/>
        <v>97.90640999999998</v>
      </c>
      <c r="H28" s="55">
        <f t="shared" si="15"/>
        <v>102.11638562999998</v>
      </c>
    </row>
    <row r="29" spans="1:12" ht="6" customHeight="1" x14ac:dyDescent="0.25">
      <c r="D29" s="52"/>
      <c r="E29" s="52"/>
      <c r="F29" s="52"/>
      <c r="G29" s="44"/>
      <c r="H29" s="44"/>
    </row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>
        <f>E121</f>
        <v>0</v>
      </c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>
        <f>E178</f>
        <v>0</v>
      </c>
      <c r="F40" s="52">
        <f t="shared" ref="F40:H40" si="19">F178</f>
        <v>0</v>
      </c>
      <c r="G40" s="52">
        <f t="shared" si="19"/>
        <v>0</v>
      </c>
      <c r="H40" s="52">
        <f t="shared" si="19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20">SUBTOTAL(9,E38:E42)</f>
        <v>0</v>
      </c>
      <c r="F43" s="55">
        <f t="shared" si="20"/>
        <v>0</v>
      </c>
      <c r="G43" s="55">
        <f t="shared" si="20"/>
        <v>0</v>
      </c>
      <c r="H43" s="55">
        <f t="shared" si="20"/>
        <v>0</v>
      </c>
    </row>
    <row r="44" spans="1:12" ht="6" customHeight="1" x14ac:dyDescent="0.25">
      <c r="A44" s="3"/>
      <c r="B44" s="6"/>
      <c r="C44" s="3"/>
      <c r="D44" s="52"/>
      <c r="E44" s="52"/>
      <c r="F44" s="52"/>
      <c r="G44" s="44"/>
      <c r="H44" s="44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1">SUM(E46:H46)</f>
        <v>14487.900000000001</v>
      </c>
      <c r="E46" s="52">
        <f>E183</f>
        <v>0</v>
      </c>
      <c r="F46" s="52">
        <f t="shared" ref="F46:H46" si="22">F183</f>
        <v>14487.900000000001</v>
      </c>
      <c r="G46" s="52">
        <f t="shared" si="22"/>
        <v>0</v>
      </c>
      <c r="H46" s="52">
        <f t="shared" si="22"/>
        <v>0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14487.900000000001</v>
      </c>
      <c r="E47" s="55">
        <f t="shared" ref="E47:H47" si="23">SUBTOTAL(9,E46)</f>
        <v>0</v>
      </c>
      <c r="F47" s="55">
        <f t="shared" si="23"/>
        <v>14487.900000000001</v>
      </c>
      <c r="G47" s="55">
        <f t="shared" si="23"/>
        <v>0</v>
      </c>
      <c r="H47" s="55">
        <f t="shared" si="23"/>
        <v>0</v>
      </c>
    </row>
    <row r="48" spans="1:12" ht="5.25" customHeight="1" x14ac:dyDescent="0.25">
      <c r="A48" s="3"/>
      <c r="B48" s="6"/>
      <c r="C48" s="3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16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3"/>
      <c r="D50" s="52">
        <f t="shared" ref="D50:D51" si="24">SUM(E50:H50)</f>
        <v>0</v>
      </c>
      <c r="E50" s="52">
        <f>E151</f>
        <v>0</v>
      </c>
      <c r="F50" s="52">
        <f t="shared" ref="F50:H50" si="25">F151</f>
        <v>0</v>
      </c>
      <c r="G50" s="52">
        <f t="shared" si="25"/>
        <v>0</v>
      </c>
      <c r="H50" s="52">
        <f t="shared" si="25"/>
        <v>0</v>
      </c>
    </row>
    <row r="51" spans="1:12" x14ac:dyDescent="0.25">
      <c r="A51" s="3"/>
      <c r="B51" s="3" t="s">
        <v>21</v>
      </c>
      <c r="C51" s="3"/>
      <c r="D51" s="52">
        <f t="shared" si="24"/>
        <v>550</v>
      </c>
      <c r="E51" s="52">
        <f>E141</f>
        <v>0</v>
      </c>
      <c r="F51" s="52">
        <f t="shared" ref="F51:H51" si="26">F141</f>
        <v>250</v>
      </c>
      <c r="G51" s="52">
        <f t="shared" si="26"/>
        <v>300</v>
      </c>
      <c r="H51" s="52">
        <f t="shared" si="26"/>
        <v>0</v>
      </c>
    </row>
    <row r="52" spans="1:12" ht="14.25" thickBot="1" x14ac:dyDescent="0.3">
      <c r="A52" s="13"/>
      <c r="B52" s="13" t="s">
        <v>71</v>
      </c>
      <c r="C52" s="13"/>
      <c r="D52" s="55">
        <f>SUBTOTAL(9,D50:D51)</f>
        <v>550</v>
      </c>
      <c r="E52" s="55">
        <f>SUBTOTAL(9,E50:E51)</f>
        <v>0</v>
      </c>
      <c r="F52" s="55">
        <f>SUBTOTAL(9,F50:F51)</f>
        <v>250</v>
      </c>
      <c r="G52" s="55">
        <f>SUBTOTAL(9,G50:G51)</f>
        <v>300</v>
      </c>
      <c r="H52" s="55">
        <f>SUBTOTAL(9,H50:H51)</f>
        <v>0</v>
      </c>
    </row>
    <row r="53" spans="1:12" ht="5.25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56"/>
      <c r="D54" s="57">
        <f>SUBTOTAL(9,D5:D52)</f>
        <v>44215.775860284353</v>
      </c>
      <c r="E54" s="57">
        <f>SUBTOTAL(9,E5:E52)</f>
        <v>0</v>
      </c>
      <c r="F54" s="57">
        <f>SUBTOTAL(9,F5:F52)</f>
        <v>29330.437298550001</v>
      </c>
      <c r="G54" s="57">
        <f>SUBTOTAL(9,G5:G52)</f>
        <v>7671.5518529586498</v>
      </c>
      <c r="H54" s="57">
        <f>SUBTOTAL(9,H5:H52)</f>
        <v>7213.7867087756995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/>
    <row r="60" spans="1:12" hidden="1" x14ac:dyDescent="0.25">
      <c r="A60" s="58"/>
      <c r="B60" s="58" t="s">
        <v>0</v>
      </c>
      <c r="C60" s="58"/>
      <c r="D60" s="59"/>
      <c r="E60" s="59"/>
      <c r="F60" s="59"/>
      <c r="G60" s="59"/>
      <c r="H60" s="59"/>
    </row>
    <row r="61" spans="1:12" hidden="1" x14ac:dyDescent="0.25">
      <c r="B61" s="5" t="s">
        <v>2</v>
      </c>
      <c r="E61" s="36">
        <f>E62*E63*E64*E65</f>
        <v>0</v>
      </c>
      <c r="F61" s="37"/>
      <c r="G61" s="38"/>
      <c r="H61" s="38"/>
    </row>
    <row r="62" spans="1:12" hidden="1" x14ac:dyDescent="0.25">
      <c r="A62" s="9"/>
      <c r="B62" s="9" t="s">
        <v>37</v>
      </c>
      <c r="C62" s="9"/>
      <c r="E62" s="36">
        <v>0</v>
      </c>
    </row>
    <row r="63" spans="1:12" hidden="1" x14ac:dyDescent="0.25">
      <c r="A63" s="9"/>
      <c r="B63" s="9" t="s">
        <v>38</v>
      </c>
      <c r="C63" s="9"/>
      <c r="D63" s="37"/>
      <c r="E63" s="37">
        <v>0</v>
      </c>
    </row>
    <row r="64" spans="1:12" hidden="1" x14ac:dyDescent="0.25">
      <c r="A64" s="9"/>
      <c r="B64" s="9" t="s">
        <v>39</v>
      </c>
      <c r="C64" s="9"/>
      <c r="E64" s="36">
        <v>0</v>
      </c>
    </row>
    <row r="65" spans="1:12" hidden="1" x14ac:dyDescent="0.25">
      <c r="A65" s="9"/>
      <c r="B65" s="9" t="s">
        <v>40</v>
      </c>
      <c r="C65" s="9"/>
      <c r="E65" s="39">
        <v>0</v>
      </c>
    </row>
    <row r="66" spans="1:12" hidden="1" x14ac:dyDescent="0.25">
      <c r="A66" s="9"/>
      <c r="B66" s="9"/>
      <c r="C66" s="9"/>
    </row>
    <row r="67" spans="1:12" x14ac:dyDescent="0.25">
      <c r="B67" s="5" t="s">
        <v>23</v>
      </c>
      <c r="E67" s="52">
        <f>E68*E69</f>
        <v>0</v>
      </c>
      <c r="F67" s="52">
        <f t="shared" ref="F67:H67" si="27">F68*F69</f>
        <v>1548.5420999999999</v>
      </c>
      <c r="G67" s="52">
        <f t="shared" si="27"/>
        <v>807.5647051499999</v>
      </c>
      <c r="H67" s="52">
        <f t="shared" si="27"/>
        <v>421.14499373572494</v>
      </c>
    </row>
    <row r="68" spans="1:12" x14ac:dyDescent="0.25">
      <c r="A68" s="9"/>
      <c r="B68" s="9" t="s">
        <v>129</v>
      </c>
      <c r="C68" s="9" t="s">
        <v>128</v>
      </c>
      <c r="E68" s="52">
        <v>0</v>
      </c>
      <c r="F68" s="52">
        <f>63+21</f>
        <v>84</v>
      </c>
      <c r="G68" s="52">
        <f>21*2</f>
        <v>42</v>
      </c>
      <c r="H68" s="52">
        <v>21</v>
      </c>
    </row>
    <row r="69" spans="1:12" x14ac:dyDescent="0.25">
      <c r="A69" s="9"/>
      <c r="B69" s="9" t="s">
        <v>41</v>
      </c>
      <c r="C69" s="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</row>
    <row r="70" spans="1:12" x14ac:dyDescent="0.25">
      <c r="E70" s="52"/>
      <c r="F70" s="52"/>
      <c r="G70" s="44"/>
      <c r="H70" s="44"/>
    </row>
    <row r="71" spans="1:12" s="7" customFormat="1" x14ac:dyDescent="0.25">
      <c r="A71" s="5"/>
      <c r="B71" s="5" t="s">
        <v>191</v>
      </c>
      <c r="C71" s="5"/>
      <c r="D71" s="36"/>
      <c r="E71" s="52">
        <f>E72*E73</f>
        <v>0</v>
      </c>
      <c r="F71" s="52">
        <f t="shared" ref="F71:H71" si="28">F72*F73</f>
        <v>9378.1449300000004</v>
      </c>
      <c r="G71" s="52">
        <f t="shared" si="28"/>
        <v>5690.9993669759997</v>
      </c>
      <c r="H71" s="52">
        <f t="shared" si="28"/>
        <v>3895.3112229648536</v>
      </c>
      <c r="I71" s="70"/>
      <c r="J71" s="6"/>
      <c r="K71" s="6"/>
      <c r="L71" s="6"/>
    </row>
    <row r="72" spans="1:12" s="7" customFormat="1" x14ac:dyDescent="0.25">
      <c r="A72" s="9"/>
      <c r="B72" s="9" t="s">
        <v>193</v>
      </c>
      <c r="C72" s="9" t="s">
        <v>128</v>
      </c>
      <c r="D72" s="36"/>
      <c r="E72" s="52">
        <v>0</v>
      </c>
      <c r="F72" s="52">
        <f>45+10</f>
        <v>55</v>
      </c>
      <c r="G72" s="52">
        <f>21+11</f>
        <v>32</v>
      </c>
      <c r="H72" s="52">
        <v>21</v>
      </c>
      <c r="I72" s="70"/>
      <c r="J72" s="6"/>
      <c r="K72" s="6"/>
      <c r="L72" s="6"/>
    </row>
    <row r="73" spans="1:12" s="7" customFormat="1" x14ac:dyDescent="0.25">
      <c r="A73" s="9"/>
      <c r="B73" s="9" t="s">
        <v>41</v>
      </c>
      <c r="C73" s="9"/>
      <c r="D73" s="36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/>
    <row r="75" spans="1:12" s="7" customFormat="1" hidden="1" x14ac:dyDescent="0.25">
      <c r="A75" s="5"/>
      <c r="B75" s="5" t="s">
        <v>1</v>
      </c>
      <c r="C75" s="5"/>
      <c r="D75" s="36"/>
      <c r="E75" s="36"/>
      <c r="F75" s="36"/>
      <c r="G75" s="29"/>
      <c r="H75" s="29"/>
      <c r="I75" s="6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"/>
      <c r="D76" s="36"/>
      <c r="E76" s="36">
        <v>0</v>
      </c>
      <c r="F76" s="36"/>
      <c r="G76" s="29"/>
      <c r="H76" s="29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"/>
      <c r="D77" s="36"/>
      <c r="E77" s="36">
        <v>0</v>
      </c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"/>
      <c r="D78" s="36"/>
      <c r="E78" s="36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"/>
      <c r="D79" s="36"/>
      <c r="E79" s="36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5"/>
      <c r="D81" s="36"/>
      <c r="E81" s="36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"/>
      <c r="D82" s="36"/>
      <c r="E82" s="36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"/>
      <c r="D83" s="36"/>
      <c r="E83" s="36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5"/>
      <c r="D85" s="36"/>
      <c r="E85" s="36"/>
      <c r="F85" s="36"/>
      <c r="G85" s="29"/>
      <c r="H85" s="29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"/>
      <c r="D86" s="36"/>
      <c r="E86" s="36">
        <v>0</v>
      </c>
      <c r="F86" s="36"/>
      <c r="G86" s="29"/>
      <c r="H86" s="29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"/>
      <c r="D87" s="36"/>
      <c r="E87" s="36">
        <v>0</v>
      </c>
      <c r="F87" s="36"/>
      <c r="G87" s="29"/>
      <c r="H87" s="29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"/>
      <c r="D89" s="36"/>
      <c r="E89" s="39"/>
      <c r="F89" s="36"/>
      <c r="G89" s="29"/>
      <c r="H89" s="29"/>
      <c r="I89" s="6"/>
      <c r="J89" s="6"/>
      <c r="K89" s="6"/>
      <c r="L89" s="6"/>
    </row>
    <row r="91" spans="1:12" x14ac:dyDescent="0.25">
      <c r="A91" s="58"/>
      <c r="B91" s="58" t="s">
        <v>10</v>
      </c>
      <c r="C91" s="58"/>
      <c r="D91" s="59"/>
      <c r="E91" s="60">
        <f>E92*E93+E95*E96</f>
        <v>0</v>
      </c>
      <c r="F91" s="60">
        <f t="shared" ref="F91:H91" si="29">F92*F93+F95*F96</f>
        <v>2734.9833550000003</v>
      </c>
      <c r="G91" s="60">
        <f t="shared" si="29"/>
        <v>0</v>
      </c>
      <c r="H91" s="60">
        <f t="shared" si="29"/>
        <v>1823.3222366666669</v>
      </c>
    </row>
    <row r="92" spans="1:12" s="7" customFormat="1" x14ac:dyDescent="0.25">
      <c r="A92" s="5"/>
      <c r="B92" s="9" t="s">
        <v>50</v>
      </c>
      <c r="C92" s="5"/>
      <c r="D92" s="36"/>
      <c r="E92" s="52">
        <v>0</v>
      </c>
      <c r="F92" s="52">
        <v>3</v>
      </c>
      <c r="G92" s="52">
        <v>0</v>
      </c>
      <c r="H92" s="52">
        <v>2</v>
      </c>
      <c r="I92" s="6"/>
      <c r="J92" s="6"/>
      <c r="K92" s="6"/>
      <c r="L92" s="6"/>
    </row>
    <row r="93" spans="1:12" s="7" customFormat="1" x14ac:dyDescent="0.25">
      <c r="A93" s="5"/>
      <c r="B93" s="9" t="s">
        <v>51</v>
      </c>
      <c r="C93" s="5"/>
      <c r="D93" s="36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>
      <c r="E94" s="52"/>
      <c r="F94" s="52"/>
      <c r="G94" s="44"/>
      <c r="H94" s="44"/>
    </row>
    <row r="95" spans="1:12" s="7" customFormat="1" hidden="1" x14ac:dyDescent="0.25">
      <c r="A95" s="5"/>
      <c r="B95" s="9" t="s">
        <v>52</v>
      </c>
      <c r="C95" s="5"/>
      <c r="D95" s="36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5"/>
      <c r="D96" s="36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>
      <c r="E97" s="52"/>
      <c r="F97" s="52"/>
      <c r="G97" s="44"/>
      <c r="H97" s="44"/>
    </row>
    <row r="98" spans="1:12" x14ac:dyDescent="0.25">
      <c r="E98" s="52"/>
      <c r="F98" s="52"/>
      <c r="G98" s="44"/>
      <c r="H98" s="44"/>
    </row>
    <row r="99" spans="1:12" x14ac:dyDescent="0.25">
      <c r="A99" s="58"/>
      <c r="B99" s="58" t="s">
        <v>194</v>
      </c>
      <c r="C99" s="58"/>
      <c r="D99" s="59"/>
      <c r="E99" s="60">
        <f>E100*E101</f>
        <v>0</v>
      </c>
      <c r="F99" s="60">
        <f t="shared" ref="F99:H99" si="30">F100*F101</f>
        <v>743.12691355000004</v>
      </c>
      <c r="G99" s="60">
        <f t="shared" si="30"/>
        <v>775.08137083265001</v>
      </c>
      <c r="H99" s="60">
        <f t="shared" si="30"/>
        <v>808.40986977845387</v>
      </c>
    </row>
    <row r="100" spans="1:12" s="7" customFormat="1" x14ac:dyDescent="0.25">
      <c r="A100" s="10"/>
      <c r="B100" s="45" t="s">
        <v>162</v>
      </c>
      <c r="C100" s="10" t="s">
        <v>163</v>
      </c>
      <c r="D100" s="36"/>
      <c r="E100" s="52">
        <v>0</v>
      </c>
      <c r="F100" s="52">
        <v>1</v>
      </c>
      <c r="G100" s="52">
        <v>1</v>
      </c>
      <c r="H100" s="52">
        <v>1</v>
      </c>
      <c r="I100" s="6"/>
      <c r="J100" s="6"/>
      <c r="K100" s="6"/>
      <c r="L100" s="6"/>
    </row>
    <row r="101" spans="1:12" s="7" customFormat="1" x14ac:dyDescent="0.25">
      <c r="A101" s="5"/>
      <c r="B101" s="45" t="s">
        <v>159</v>
      </c>
      <c r="C101" s="5"/>
      <c r="D101" s="36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x14ac:dyDescent="0.25">
      <c r="E102" s="52"/>
      <c r="F102" s="52"/>
      <c r="G102" s="44"/>
      <c r="H102" s="44"/>
    </row>
    <row r="103" spans="1:12" hidden="1" x14ac:dyDescent="0.25">
      <c r="A103" s="58"/>
      <c r="B103" s="58" t="s">
        <v>148</v>
      </c>
      <c r="C103" s="58"/>
      <c r="D103" s="59"/>
      <c r="E103" s="60">
        <f>E104*E105+E106*E107+E108*E109</f>
        <v>0</v>
      </c>
      <c r="F103" s="60">
        <f t="shared" ref="F103:H103" si="31">F104*F105+F106*F107+F108*F109</f>
        <v>0</v>
      </c>
      <c r="G103" s="60">
        <f t="shared" si="31"/>
        <v>0</v>
      </c>
      <c r="H103" s="60">
        <f t="shared" si="31"/>
        <v>163.48200000000003</v>
      </c>
    </row>
    <row r="104" spans="1:12" hidden="1" x14ac:dyDescent="0.25">
      <c r="B104" s="45" t="s">
        <v>149</v>
      </c>
      <c r="C104" s="5" t="s">
        <v>150</v>
      </c>
      <c r="E104" s="52"/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E105" s="52"/>
      <c r="F105" s="52">
        <v>0</v>
      </c>
      <c r="G105" s="52">
        <f t="shared" ref="G105:H105" si="32">G92</f>
        <v>0</v>
      </c>
      <c r="H105" s="52">
        <f t="shared" si="32"/>
        <v>2</v>
      </c>
    </row>
    <row r="106" spans="1:12" hidden="1" x14ac:dyDescent="0.25">
      <c r="B106" s="45" t="s">
        <v>152</v>
      </c>
      <c r="E106" s="52"/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f>E108*E109</f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 t="s">
        <v>272</v>
      </c>
      <c r="C108" s="5" t="s">
        <v>155</v>
      </c>
      <c r="E108" s="52">
        <f>Training!$C$34*(100%-Training!$C$38)</f>
        <v>50</v>
      </c>
      <c r="F108" s="52">
        <f>Training!$C$34*(100%-Training!$C$38)</f>
        <v>50</v>
      </c>
      <c r="G108" s="52">
        <f>Training!$C$34*(100%-Training!$C$38)</f>
        <v>50</v>
      </c>
      <c r="H108" s="52">
        <f>Training!$C$34*(100%-Training!$C$38)</f>
        <v>50</v>
      </c>
    </row>
    <row r="109" spans="1:12" hidden="1" x14ac:dyDescent="0.25">
      <c r="B109" s="45" t="s">
        <v>151</v>
      </c>
      <c r="E109" s="52">
        <v>0</v>
      </c>
      <c r="F109" s="52">
        <v>0</v>
      </c>
      <c r="G109" s="52">
        <v>0</v>
      </c>
      <c r="H109" s="52">
        <v>0</v>
      </c>
    </row>
    <row r="110" spans="1:12" hidden="1" x14ac:dyDescent="0.25">
      <c r="B110" s="45"/>
      <c r="E110" s="52"/>
      <c r="F110" s="52"/>
      <c r="G110" s="44"/>
      <c r="H110" s="44"/>
    </row>
    <row r="111" spans="1:12" x14ac:dyDescent="0.25">
      <c r="A111" s="58"/>
      <c r="B111" s="58" t="s">
        <v>24</v>
      </c>
      <c r="C111" s="58"/>
      <c r="D111" s="59"/>
      <c r="E111" s="60">
        <f>E112*E113</f>
        <v>0</v>
      </c>
      <c r="F111" s="60">
        <f t="shared" ref="F111:H111" si="33">F112*F113</f>
        <v>187.73999999999998</v>
      </c>
      <c r="G111" s="60">
        <f t="shared" si="33"/>
        <v>97.90640999999998</v>
      </c>
      <c r="H111" s="60">
        <f t="shared" si="33"/>
        <v>102.11638562999998</v>
      </c>
      <c r="I111" s="70"/>
    </row>
    <row r="112" spans="1:12" s="7" customFormat="1" x14ac:dyDescent="0.25">
      <c r="A112" s="5"/>
      <c r="B112" s="45" t="s">
        <v>54</v>
      </c>
      <c r="C112" s="5"/>
      <c r="D112" s="36"/>
      <c r="E112" s="52">
        <v>0</v>
      </c>
      <c r="F112" s="52">
        <v>30</v>
      </c>
      <c r="G112" s="52">
        <v>15</v>
      </c>
      <c r="H112" s="52">
        <v>15</v>
      </c>
      <c r="I112" s="70"/>
      <c r="J112" s="6"/>
      <c r="K112" s="6"/>
      <c r="L112" s="6"/>
    </row>
    <row r="113" spans="1:12" s="7" customFormat="1" x14ac:dyDescent="0.25">
      <c r="A113" s="5"/>
      <c r="B113" s="45" t="s">
        <v>55</v>
      </c>
      <c r="C113" s="5"/>
      <c r="D113" s="36"/>
      <c r="E113" s="52">
        <f>'Rates and GI'!D30</f>
        <v>6</v>
      </c>
      <c r="F113" s="52">
        <f>E113*(1+index)</f>
        <v>6.2579999999999991</v>
      </c>
      <c r="G113" s="52">
        <f>F113*(1+index)</f>
        <v>6.5270939999999991</v>
      </c>
      <c r="H113" s="52">
        <f>G113*(1+index)</f>
        <v>6.8077590419999989</v>
      </c>
      <c r="I113" s="70"/>
      <c r="J113" s="6"/>
      <c r="K113" s="6"/>
      <c r="L113" s="6"/>
    </row>
    <row r="114" spans="1:12" x14ac:dyDescent="0.25">
      <c r="E114" s="52"/>
      <c r="F114" s="52"/>
      <c r="G114" s="44"/>
      <c r="H114" s="44"/>
      <c r="I114" s="70"/>
    </row>
    <row r="115" spans="1:12" hidden="1" x14ac:dyDescent="0.25">
      <c r="A115" s="58"/>
      <c r="B115" s="58" t="s">
        <v>7</v>
      </c>
      <c r="C115" s="58"/>
      <c r="D115" s="59"/>
      <c r="E115" s="59"/>
      <c r="F115" s="59"/>
      <c r="G115" s="59"/>
      <c r="H115" s="59"/>
    </row>
    <row r="116" spans="1:12" s="7" customFormat="1" hidden="1" x14ac:dyDescent="0.25">
      <c r="A116" s="5"/>
      <c r="B116" s="4" t="s">
        <v>58</v>
      </c>
      <c r="C116" s="5"/>
      <c r="D116" s="36"/>
      <c r="E116" s="36"/>
      <c r="F116" s="36"/>
      <c r="G116" s="29"/>
      <c r="H116" s="29"/>
      <c r="I116" s="6"/>
      <c r="J116" s="6"/>
      <c r="K116" s="6"/>
      <c r="L116" s="6"/>
    </row>
    <row r="117" spans="1:12" s="51" customFormat="1" hidden="1" x14ac:dyDescent="0.25">
      <c r="A117" s="46"/>
      <c r="B117" s="47" t="s">
        <v>59</v>
      </c>
      <c r="C117" s="46" t="s">
        <v>56</v>
      </c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s="46" customFormat="1" hidden="1" x14ac:dyDescent="0.25">
      <c r="B118" s="47" t="s">
        <v>57</v>
      </c>
      <c r="D118" s="48"/>
      <c r="E118" s="48"/>
      <c r="F118" s="48"/>
      <c r="G118" s="49"/>
      <c r="H118" s="49"/>
      <c r="I118" s="50"/>
      <c r="J118" s="50"/>
      <c r="K118" s="50"/>
      <c r="L118" s="50"/>
    </row>
    <row r="119" spans="1:12" s="46" customFormat="1" hidden="1" x14ac:dyDescent="0.25">
      <c r="B119" s="47" t="s">
        <v>60</v>
      </c>
      <c r="D119" s="48"/>
      <c r="E119" s="48"/>
      <c r="F119" s="48"/>
      <c r="G119" s="49"/>
      <c r="H119" s="49"/>
      <c r="I119" s="50"/>
      <c r="J119" s="50"/>
      <c r="K119" s="50"/>
      <c r="L119" s="50"/>
    </row>
    <row r="120" spans="1:12" hidden="1" x14ac:dyDescent="0.25"/>
    <row r="121" spans="1:12" hidden="1" x14ac:dyDescent="0.25">
      <c r="A121" s="58"/>
      <c r="B121" s="58" t="s">
        <v>26</v>
      </c>
      <c r="C121" s="58"/>
      <c r="D121" s="59"/>
      <c r="E121" s="60">
        <f>E126*E127</f>
        <v>0</v>
      </c>
      <c r="F121" s="59"/>
      <c r="G121" s="59"/>
      <c r="H121" s="59"/>
    </row>
    <row r="122" spans="1:12" s="5" customFormat="1" hidden="1" x14ac:dyDescent="0.25">
      <c r="B122" s="63" t="s">
        <v>61</v>
      </c>
      <c r="D122" s="36"/>
      <c r="E122" s="52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36"/>
      <c r="E123" s="52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36"/>
      <c r="E124" s="52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63" t="s">
        <v>62</v>
      </c>
      <c r="D125" s="36"/>
      <c r="E125" s="52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47" t="s">
        <v>166</v>
      </c>
      <c r="D126" s="36"/>
      <c r="E126" s="52">
        <f>'Rates and GI'!D39</f>
        <v>350</v>
      </c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47" t="s">
        <v>165</v>
      </c>
      <c r="D127" s="36"/>
      <c r="E127" s="52">
        <v>0</v>
      </c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63" t="s">
        <v>8</v>
      </c>
      <c r="D128" s="36"/>
      <c r="E128" s="52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166</v>
      </c>
      <c r="D129" s="36"/>
      <c r="E129" s="52"/>
      <c r="F129" s="36"/>
      <c r="G129" s="29"/>
      <c r="H129" s="29"/>
      <c r="I129" s="6"/>
      <c r="J129" s="6"/>
      <c r="K129" s="6"/>
      <c r="L129" s="6"/>
    </row>
    <row r="130" spans="1:12" s="5" customFormat="1" hidden="1" x14ac:dyDescent="0.25">
      <c r="B130" s="47" t="s">
        <v>165</v>
      </c>
      <c r="D130" s="36"/>
      <c r="E130" s="52"/>
      <c r="F130" s="36"/>
      <c r="G130" s="29"/>
      <c r="H130" s="29"/>
      <c r="I130" s="6"/>
      <c r="J130" s="6"/>
      <c r="K130" s="6"/>
      <c r="L130" s="6"/>
    </row>
    <row r="131" spans="1:12" hidden="1" x14ac:dyDescent="0.25">
      <c r="E131" s="52"/>
    </row>
    <row r="132" spans="1:12" hidden="1" x14ac:dyDescent="0.25">
      <c r="A132" s="58"/>
      <c r="B132" s="58" t="s">
        <v>25</v>
      </c>
      <c r="C132" s="58"/>
      <c r="D132" s="59"/>
      <c r="E132" s="59"/>
      <c r="F132" s="59"/>
      <c r="G132" s="59"/>
      <c r="H132" s="59"/>
    </row>
    <row r="133" spans="1:12" s="5" customFormat="1" hidden="1" x14ac:dyDescent="0.25">
      <c r="B133" s="47" t="s">
        <v>64</v>
      </c>
      <c r="D133" s="36"/>
      <c r="E133" s="36"/>
      <c r="F133" s="36"/>
      <c r="G133" s="29"/>
      <c r="H133" s="29"/>
      <c r="I133" s="6"/>
      <c r="J133" s="6"/>
      <c r="K133" s="6"/>
      <c r="L133" s="6"/>
    </row>
    <row r="134" spans="1:12" s="5" customFormat="1" hidden="1" x14ac:dyDescent="0.25">
      <c r="B134" s="47" t="s">
        <v>63</v>
      </c>
      <c r="D134" s="36"/>
      <c r="E134" s="36"/>
      <c r="F134" s="36"/>
      <c r="G134" s="29"/>
      <c r="H134" s="29"/>
      <c r="I134" s="6"/>
      <c r="J134" s="6"/>
      <c r="K134" s="6"/>
      <c r="L134" s="6"/>
    </row>
    <row r="135" spans="1:12" s="5" customFormat="1" hidden="1" x14ac:dyDescent="0.25">
      <c r="B135" s="47" t="s">
        <v>65</v>
      </c>
      <c r="D135" s="36"/>
      <c r="E135" s="36"/>
      <c r="F135" s="36"/>
      <c r="G135" s="29"/>
      <c r="H135" s="29"/>
      <c r="I135" s="6"/>
      <c r="J135" s="6"/>
      <c r="K135" s="6"/>
      <c r="L135" s="6"/>
    </row>
    <row r="136" spans="1:12" s="5" customFormat="1" hidden="1" x14ac:dyDescent="0.25">
      <c r="B136" s="5" t="s">
        <v>173</v>
      </c>
      <c r="D136" s="36"/>
      <c r="E136" s="52">
        <f>E137+E138*E139</f>
        <v>0</v>
      </c>
      <c r="F136" s="52">
        <f>F137+F138*F139</f>
        <v>0</v>
      </c>
      <c r="G136" s="52">
        <f t="shared" ref="G136:H136" si="34">G137+G138*G139</f>
        <v>0</v>
      </c>
      <c r="H136" s="52">
        <f t="shared" si="34"/>
        <v>0</v>
      </c>
    </row>
    <row r="137" spans="1:12" hidden="1" x14ac:dyDescent="0.25">
      <c r="B137" s="47" t="s">
        <v>172</v>
      </c>
      <c r="E137" s="52"/>
      <c r="F137" s="52">
        <f>'Rates and GI'!D57*0</f>
        <v>0</v>
      </c>
      <c r="G137" s="44"/>
      <c r="H137" s="44"/>
    </row>
    <row r="138" spans="1:12" hidden="1" x14ac:dyDescent="0.25">
      <c r="B138" s="47" t="s">
        <v>178</v>
      </c>
      <c r="E138" s="68">
        <f>'Rates and GI'!$D$58</f>
        <v>0.05</v>
      </c>
      <c r="F138" s="68">
        <f>'Rates and GI'!$D$58</f>
        <v>0.05</v>
      </c>
      <c r="G138" s="68">
        <f>'Rates and GI'!$D$58</f>
        <v>0.05</v>
      </c>
      <c r="H138" s="68">
        <f>'Rates and GI'!$D$58</f>
        <v>0.05</v>
      </c>
    </row>
    <row r="139" spans="1:12" hidden="1" x14ac:dyDescent="0.25">
      <c r="B139" s="47" t="s">
        <v>179</v>
      </c>
      <c r="E139" s="52">
        <v>0</v>
      </c>
      <c r="F139" s="52">
        <v>0</v>
      </c>
      <c r="G139" s="52"/>
      <c r="H139" s="52"/>
    </row>
    <row r="140" spans="1:12" s="5" customFormat="1" hidden="1" x14ac:dyDescent="0.25">
      <c r="B140" s="47"/>
      <c r="D140" s="36"/>
      <c r="E140" s="52"/>
      <c r="F140" s="52"/>
      <c r="G140" s="44"/>
      <c r="H140" s="44"/>
      <c r="I140" s="6"/>
      <c r="J140" s="6"/>
      <c r="K140" s="6"/>
      <c r="L140" s="6"/>
    </row>
    <row r="141" spans="1:12" x14ac:dyDescent="0.25">
      <c r="A141" s="58"/>
      <c r="B141" s="58" t="s">
        <v>21</v>
      </c>
      <c r="C141" s="58"/>
      <c r="D141" s="59"/>
      <c r="E141" s="60">
        <f>E142*E143+E144*E145++E146*E147+E148*E149</f>
        <v>0</v>
      </c>
      <c r="F141" s="60">
        <f t="shared" ref="F141:H141" si="35">F142*F143+F144*F145++F146*F147+F148*F149</f>
        <v>250</v>
      </c>
      <c r="G141" s="60">
        <f t="shared" si="35"/>
        <v>300</v>
      </c>
      <c r="H141" s="60">
        <f t="shared" si="35"/>
        <v>0</v>
      </c>
    </row>
    <row r="142" spans="1:12" hidden="1" x14ac:dyDescent="0.25">
      <c r="B142" s="47" t="s">
        <v>169</v>
      </c>
      <c r="E142" s="52"/>
      <c r="F142" s="52"/>
      <c r="G142" s="52">
        <v>0</v>
      </c>
      <c r="H142" s="52"/>
    </row>
    <row r="143" spans="1:12" hidden="1" x14ac:dyDescent="0.25">
      <c r="B143" s="47" t="s">
        <v>170</v>
      </c>
      <c r="E143" s="52">
        <f>'Rates and GI'!$D$69</f>
        <v>5000</v>
      </c>
      <c r="F143" s="52">
        <f>'Rates and GI'!$D$69</f>
        <v>5000</v>
      </c>
      <c r="G143" s="52">
        <f>'Rates and GI'!$D$69</f>
        <v>5000</v>
      </c>
      <c r="H143" s="52">
        <f>'Rates and GI'!$D$69</f>
        <v>5000</v>
      </c>
    </row>
    <row r="144" spans="1:12" hidden="1" x14ac:dyDescent="0.25">
      <c r="B144" s="47" t="s">
        <v>167</v>
      </c>
      <c r="E144" s="52"/>
      <c r="F144" s="52">
        <v>0</v>
      </c>
      <c r="G144" s="52">
        <v>0</v>
      </c>
      <c r="H144" s="52">
        <v>0</v>
      </c>
    </row>
    <row r="145" spans="1:12" hidden="1" x14ac:dyDescent="0.25">
      <c r="B145" s="47" t="s">
        <v>168</v>
      </c>
      <c r="E145" s="52">
        <f>'Rates and GI'!$D$70</f>
        <v>1500</v>
      </c>
      <c r="F145" s="52">
        <f>'Rates and GI'!$D$70</f>
        <v>1500</v>
      </c>
      <c r="G145" s="52">
        <f>'Rates and GI'!$D$70</f>
        <v>1500</v>
      </c>
      <c r="H145" s="52">
        <f>'Rates and GI'!$D$70</f>
        <v>1500</v>
      </c>
    </row>
    <row r="146" spans="1:12" ht="27" x14ac:dyDescent="0.25">
      <c r="B146" s="71" t="s">
        <v>183</v>
      </c>
      <c r="E146" s="52">
        <v>0</v>
      </c>
      <c r="F146" s="52">
        <v>1</v>
      </c>
      <c r="G146" s="52">
        <v>1</v>
      </c>
      <c r="H146" s="52">
        <v>0</v>
      </c>
    </row>
    <row r="147" spans="1:12" ht="27" x14ac:dyDescent="0.25">
      <c r="B147" s="71" t="s">
        <v>182</v>
      </c>
      <c r="E147" s="52">
        <f>'Rates and GI'!$D$71</f>
        <v>200</v>
      </c>
      <c r="F147" s="52">
        <f>'Rates and GI'!$D$71</f>
        <v>200</v>
      </c>
      <c r="G147" s="52">
        <f>'Rates and GI'!$D$71</f>
        <v>200</v>
      </c>
      <c r="H147" s="52">
        <f>'Rates and GI'!$D$71</f>
        <v>200</v>
      </c>
    </row>
    <row r="148" spans="1:12" s="5" customFormat="1" x14ac:dyDescent="0.25">
      <c r="B148" s="47" t="s">
        <v>354</v>
      </c>
      <c r="D148" s="36"/>
      <c r="E148" s="52">
        <v>0</v>
      </c>
      <c r="F148" s="52">
        <v>1</v>
      </c>
      <c r="G148" s="52">
        <v>2</v>
      </c>
      <c r="H148" s="52">
        <v>0</v>
      </c>
      <c r="I148" s="6"/>
      <c r="J148" s="6"/>
      <c r="K148" s="6"/>
      <c r="L148" s="6"/>
    </row>
    <row r="149" spans="1:12" s="5" customFormat="1" x14ac:dyDescent="0.25">
      <c r="B149" s="47" t="s">
        <v>349</v>
      </c>
      <c r="D149" s="36"/>
      <c r="E149" s="52">
        <f>'Rates and GI'!$D$72</f>
        <v>50</v>
      </c>
      <c r="F149" s="52">
        <f>'Rates and GI'!$D$72</f>
        <v>50</v>
      </c>
      <c r="G149" s="52">
        <f>'Rates and GI'!$D$72</f>
        <v>50</v>
      </c>
      <c r="H149" s="52">
        <f>'Rates and GI'!$D$72</f>
        <v>50</v>
      </c>
      <c r="I149" s="6"/>
      <c r="J149" s="6"/>
      <c r="K149" s="6"/>
      <c r="L149" s="6"/>
    </row>
    <row r="150" spans="1:12" x14ac:dyDescent="0.25">
      <c r="E150" s="52"/>
      <c r="F150" s="52"/>
      <c r="G150" s="44"/>
      <c r="H150" s="44"/>
    </row>
    <row r="151" spans="1:12" hidden="1" x14ac:dyDescent="0.25">
      <c r="A151" s="58"/>
      <c r="B151" s="58" t="s">
        <v>218</v>
      </c>
      <c r="C151" s="58"/>
      <c r="D151" s="59"/>
      <c r="E151" s="60">
        <f>E152+E155+E158+E167+E172</f>
        <v>0</v>
      </c>
      <c r="F151" s="60">
        <f t="shared" ref="F151:H151" si="36">F152+F155+F158+F167+F172</f>
        <v>0</v>
      </c>
      <c r="G151" s="60">
        <f t="shared" si="36"/>
        <v>0</v>
      </c>
      <c r="H151" s="60">
        <f t="shared" si="36"/>
        <v>0</v>
      </c>
    </row>
    <row r="152" spans="1:12" s="5" customFormat="1" hidden="1" x14ac:dyDescent="0.25">
      <c r="B152" s="5" t="s">
        <v>197</v>
      </c>
      <c r="D152" s="36"/>
      <c r="E152" s="52">
        <f>E153+E156*E157</f>
        <v>0</v>
      </c>
      <c r="F152" s="52">
        <f>F153+F156*F157</f>
        <v>0</v>
      </c>
      <c r="G152" s="52">
        <f>G153+G156*G157</f>
        <v>0</v>
      </c>
      <c r="H152" s="52">
        <f t="shared" ref="H152" si="37">H153+H156*H157</f>
        <v>0</v>
      </c>
    </row>
    <row r="153" spans="1:12" hidden="1" x14ac:dyDescent="0.25">
      <c r="B153" s="47" t="s">
        <v>208</v>
      </c>
      <c r="E153" s="52"/>
      <c r="F153" s="52">
        <f>('Rates and GI'!$D$56+'Rates and GI'!$D$60)*0</f>
        <v>0</v>
      </c>
      <c r="G153" s="52">
        <f>('Rates and GI'!$D$56+'Rates and GI'!$D$60)*0</f>
        <v>0</v>
      </c>
      <c r="H153" s="52"/>
    </row>
    <row r="154" spans="1:12" hidden="1" x14ac:dyDescent="0.25">
      <c r="B154" s="47" t="s">
        <v>211</v>
      </c>
      <c r="E154" s="52"/>
      <c r="F154" s="52">
        <f>'Rates and GI'!$D$62</f>
        <v>300</v>
      </c>
      <c r="G154" s="52">
        <f>'Rates and GI'!$D$62</f>
        <v>300</v>
      </c>
      <c r="H154" s="52"/>
    </row>
    <row r="155" spans="1:12" hidden="1" x14ac:dyDescent="0.25">
      <c r="B155" s="5" t="s">
        <v>198</v>
      </c>
      <c r="E155" s="52">
        <f>E156*E157</f>
        <v>0</v>
      </c>
      <c r="F155" s="52">
        <f t="shared" ref="F155:H155" si="38">F156*F157</f>
        <v>0</v>
      </c>
      <c r="G155" s="52">
        <f t="shared" si="38"/>
        <v>0</v>
      </c>
      <c r="H155" s="52">
        <f t="shared" si="38"/>
        <v>0</v>
      </c>
    </row>
    <row r="156" spans="1:12" hidden="1" x14ac:dyDescent="0.25">
      <c r="B156" s="47" t="s">
        <v>186</v>
      </c>
      <c r="E156" s="52"/>
      <c r="F156" s="52">
        <f>'Rates and GI'!$D$65</f>
        <v>24.1465</v>
      </c>
      <c r="G156" s="52">
        <f>'Rates and GI'!$D$65</f>
        <v>24.1465</v>
      </c>
      <c r="H156" s="52">
        <f>'Rates and GI'!$D$65</f>
        <v>24.1465</v>
      </c>
    </row>
    <row r="157" spans="1:12" hidden="1" x14ac:dyDescent="0.25">
      <c r="B157" s="47" t="s">
        <v>185</v>
      </c>
      <c r="E157" s="52"/>
      <c r="F157" s="52">
        <v>0</v>
      </c>
      <c r="G157" s="44">
        <v>0</v>
      </c>
      <c r="H157" s="44">
        <v>0</v>
      </c>
    </row>
    <row r="158" spans="1:12" hidden="1" x14ac:dyDescent="0.25">
      <c r="B158" s="5" t="s">
        <v>199</v>
      </c>
      <c r="E158" s="52">
        <f>E159+E163</f>
        <v>0</v>
      </c>
      <c r="F158" s="52">
        <f t="shared" ref="F158:H158" si="39">F159+F163</f>
        <v>0</v>
      </c>
      <c r="G158" s="52">
        <f t="shared" si="39"/>
        <v>0</v>
      </c>
      <c r="H158" s="52">
        <f t="shared" si="39"/>
        <v>0</v>
      </c>
    </row>
    <row r="159" spans="1:12" hidden="1" x14ac:dyDescent="0.25">
      <c r="B159" s="47" t="s">
        <v>213</v>
      </c>
      <c r="E159" s="52">
        <f>E160*E161</f>
        <v>0</v>
      </c>
      <c r="F159" s="52">
        <f t="shared" ref="F159:H159" si="40">F160*F161</f>
        <v>0</v>
      </c>
      <c r="G159" s="52">
        <f t="shared" si="40"/>
        <v>0</v>
      </c>
      <c r="H159" s="52">
        <f t="shared" si="40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2:8" hidden="1" x14ac:dyDescent="0.25">
      <c r="B161" s="47" t="s">
        <v>202</v>
      </c>
      <c r="E161" s="52">
        <f>'Rates and GI'!$D$63</f>
        <v>150</v>
      </c>
      <c r="F161" s="52">
        <f>'Rates and GI'!$D$63</f>
        <v>150</v>
      </c>
      <c r="G161" s="52">
        <f>'Rates and GI'!$D$63</f>
        <v>150</v>
      </c>
      <c r="H161" s="52">
        <f>'Rates and GI'!$D$63</f>
        <v>150</v>
      </c>
    </row>
    <row r="162" spans="2:8" hidden="1" x14ac:dyDescent="0.25">
      <c r="B162" s="6"/>
      <c r="E162" s="52"/>
      <c r="F162" s="52"/>
      <c r="G162" s="44"/>
      <c r="H162" s="44"/>
    </row>
    <row r="163" spans="2:8" hidden="1" x14ac:dyDescent="0.25">
      <c r="B163" s="47" t="s">
        <v>214</v>
      </c>
      <c r="E163" s="52">
        <f>E164*E165</f>
        <v>0</v>
      </c>
      <c r="F163" s="52">
        <f t="shared" ref="F163:H163" si="41">F164*F165</f>
        <v>0</v>
      </c>
      <c r="G163" s="52">
        <f t="shared" si="41"/>
        <v>0</v>
      </c>
      <c r="H163" s="52">
        <f t="shared" si="41"/>
        <v>0</v>
      </c>
    </row>
    <row r="164" spans="2:8" hidden="1" x14ac:dyDescent="0.25">
      <c r="B164" s="47" t="s">
        <v>200</v>
      </c>
      <c r="C164" s="5" t="s">
        <v>201</v>
      </c>
      <c r="E164" s="52">
        <v>0</v>
      </c>
      <c r="F164" s="52">
        <v>0</v>
      </c>
      <c r="G164" s="44">
        <v>0</v>
      </c>
      <c r="H164" s="44">
        <v>0</v>
      </c>
    </row>
    <row r="165" spans="2:8" hidden="1" x14ac:dyDescent="0.25">
      <c r="B165" s="47" t="s">
        <v>202</v>
      </c>
      <c r="E165" s="52">
        <f>'Rates and GI'!$D$64</f>
        <v>20</v>
      </c>
      <c r="F165" s="52">
        <f>'Rates and GI'!$D$64</f>
        <v>20</v>
      </c>
      <c r="G165" s="52">
        <f>'Rates and GI'!$D$64</f>
        <v>20</v>
      </c>
      <c r="H165" s="52">
        <f>'Rates and GI'!$D$64</f>
        <v>20</v>
      </c>
    </row>
    <row r="166" spans="2:8" hidden="1" x14ac:dyDescent="0.25">
      <c r="B166" s="6"/>
      <c r="E166" s="52"/>
      <c r="F166" s="52"/>
      <c r="G166" s="44"/>
      <c r="H166" s="44"/>
    </row>
    <row r="167" spans="2:8" hidden="1" x14ac:dyDescent="0.25">
      <c r="B167" s="5" t="s">
        <v>203</v>
      </c>
      <c r="E167" s="52">
        <f>E168*E169*E170</f>
        <v>0</v>
      </c>
      <c r="F167" s="52">
        <f t="shared" ref="F167:H167" si="42">F168*F169*F170</f>
        <v>0</v>
      </c>
      <c r="G167" s="52">
        <f t="shared" si="42"/>
        <v>0</v>
      </c>
      <c r="H167" s="52">
        <f t="shared" si="42"/>
        <v>0</v>
      </c>
    </row>
    <row r="168" spans="2:8" hidden="1" x14ac:dyDescent="0.25">
      <c r="B168" s="47" t="s">
        <v>215</v>
      </c>
      <c r="E168" s="52"/>
      <c r="F168" s="52">
        <f>'Rates and GI'!$D$66</f>
        <v>300</v>
      </c>
      <c r="G168" s="52">
        <f>'Rates and GI'!$D$66</f>
        <v>300</v>
      </c>
      <c r="H168" s="52">
        <f>'Rates and GI'!$D$66</f>
        <v>300</v>
      </c>
    </row>
    <row r="169" spans="2:8" hidden="1" x14ac:dyDescent="0.25">
      <c r="B169" s="47" t="s">
        <v>216</v>
      </c>
      <c r="E169" s="52"/>
      <c r="F169" s="52">
        <v>3</v>
      </c>
      <c r="G169" s="52">
        <v>3</v>
      </c>
      <c r="H169" s="52">
        <v>3</v>
      </c>
    </row>
    <row r="170" spans="2:8" hidden="1" x14ac:dyDescent="0.25">
      <c r="B170" s="47" t="s">
        <v>217</v>
      </c>
      <c r="E170" s="52"/>
      <c r="F170" s="52">
        <v>0</v>
      </c>
      <c r="G170" s="52">
        <v>0</v>
      </c>
      <c r="H170" s="52">
        <v>0</v>
      </c>
    </row>
    <row r="171" spans="2:8" hidden="1" x14ac:dyDescent="0.25">
      <c r="E171" s="52"/>
      <c r="F171" s="52"/>
      <c r="G171" s="44"/>
      <c r="H171" s="44"/>
    </row>
    <row r="172" spans="2:8" hidden="1" x14ac:dyDescent="0.25">
      <c r="B172" s="5" t="s">
        <v>196</v>
      </c>
      <c r="E172" s="52">
        <f>E173+E174*E175</f>
        <v>0</v>
      </c>
      <c r="F172" s="52">
        <f>F173+F174*F175</f>
        <v>0</v>
      </c>
      <c r="G172" s="52">
        <f>G173+G174*G175</f>
        <v>0</v>
      </c>
      <c r="H172" s="52">
        <f>H173+H174*H175</f>
        <v>0</v>
      </c>
    </row>
    <row r="173" spans="2:8" hidden="1" x14ac:dyDescent="0.25">
      <c r="B173" s="47" t="s">
        <v>172</v>
      </c>
      <c r="E173" s="52"/>
      <c r="F173" s="52">
        <f>'Rates and GI'!D57*0</f>
        <v>0</v>
      </c>
      <c r="G173" s="44"/>
      <c r="H173" s="44"/>
    </row>
    <row r="174" spans="2:8" hidden="1" x14ac:dyDescent="0.25">
      <c r="B174" s="47" t="s">
        <v>178</v>
      </c>
      <c r="E174" s="52"/>
      <c r="F174" s="75">
        <f>'Rates and GI'!$D$58</f>
        <v>0.05</v>
      </c>
      <c r="G174" s="75">
        <f>'Rates and GI'!$D$58</f>
        <v>0.05</v>
      </c>
      <c r="H174" s="75">
        <f>'Rates and GI'!$D$58</f>
        <v>0.05</v>
      </c>
    </row>
    <row r="175" spans="2:8" hidden="1" x14ac:dyDescent="0.25">
      <c r="B175" s="47" t="s">
        <v>179</v>
      </c>
      <c r="E175" s="52"/>
      <c r="F175" s="52">
        <v>0</v>
      </c>
      <c r="G175" s="44">
        <v>0</v>
      </c>
      <c r="H175" s="44"/>
    </row>
    <row r="176" spans="2:8" hidden="1" x14ac:dyDescent="0.25">
      <c r="E176" s="52"/>
      <c r="F176" s="52"/>
      <c r="G176" s="44"/>
      <c r="H176" s="44"/>
    </row>
    <row r="177" spans="1:9" hidden="1" x14ac:dyDescent="0.25">
      <c r="E177" s="52"/>
      <c r="F177" s="52"/>
      <c r="G177" s="44"/>
      <c r="H177" s="44"/>
    </row>
    <row r="178" spans="1:9" hidden="1" x14ac:dyDescent="0.25">
      <c r="A178" s="58"/>
      <c r="B178" s="58" t="s">
        <v>19</v>
      </c>
      <c r="C178" s="58"/>
      <c r="D178" s="59"/>
      <c r="E178" s="59"/>
      <c r="F178" s="59"/>
      <c r="G178" s="59"/>
      <c r="H178" s="59"/>
      <c r="I178" s="70"/>
    </row>
    <row r="179" spans="1:9" hidden="1" x14ac:dyDescent="0.25"/>
    <row r="180" spans="1:9" ht="27" x14ac:dyDescent="0.25">
      <c r="A180" s="58"/>
      <c r="B180" s="86" t="s">
        <v>429</v>
      </c>
      <c r="C180" s="98"/>
      <c r="D180" s="60"/>
      <c r="E180" s="60"/>
      <c r="F180" s="60"/>
      <c r="G180" s="60"/>
      <c r="H180" s="60"/>
    </row>
    <row r="181" spans="1:9" x14ac:dyDescent="0.25">
      <c r="A181" s="10"/>
      <c r="B181" s="45" t="s">
        <v>263</v>
      </c>
      <c r="C181" s="102">
        <f>SUM(E181:H181)</f>
        <v>6</v>
      </c>
      <c r="D181" s="52"/>
      <c r="E181" s="52">
        <v>0</v>
      </c>
      <c r="F181" s="52">
        <v>6</v>
      </c>
      <c r="G181" s="52">
        <v>0</v>
      </c>
      <c r="H181" s="52">
        <v>0</v>
      </c>
    </row>
    <row r="182" spans="1:9" x14ac:dyDescent="0.25">
      <c r="B182" s="45" t="s">
        <v>264</v>
      </c>
      <c r="C182" s="52">
        <f>Soft!E13</f>
        <v>14487.900000000001</v>
      </c>
      <c r="D182" s="52"/>
      <c r="E182" s="52">
        <f>Trips!B106</f>
        <v>0</v>
      </c>
      <c r="F182" s="52">
        <f>E182*(1+index)</f>
        <v>0</v>
      </c>
      <c r="G182" s="52">
        <f>F182*(1+index)</f>
        <v>0</v>
      </c>
      <c r="H182" s="52">
        <f>G182*(1+index)</f>
        <v>0</v>
      </c>
    </row>
    <row r="183" spans="1:9" x14ac:dyDescent="0.25">
      <c r="B183" s="45" t="s">
        <v>265</v>
      </c>
      <c r="C183" s="94"/>
      <c r="D183" s="52"/>
      <c r="E183" s="52">
        <f>$C$182/$C$181*E181</f>
        <v>0</v>
      </c>
      <c r="F183" s="52">
        <f t="shared" ref="F183:H183" si="43">$C$182/$C$181*F181</f>
        <v>14487.900000000001</v>
      </c>
      <c r="G183" s="52">
        <f t="shared" si="43"/>
        <v>0</v>
      </c>
      <c r="H183" s="52">
        <f t="shared" si="43"/>
        <v>0</v>
      </c>
    </row>
    <row r="184" spans="1:9" x14ac:dyDescent="0.25">
      <c r="A184" s="58"/>
      <c r="B184" s="58"/>
      <c r="C184" s="58"/>
      <c r="D184" s="59"/>
      <c r="E184" s="60"/>
      <c r="F184" s="60"/>
      <c r="G184" s="60"/>
      <c r="H184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9"/>
  <sheetViews>
    <sheetView topLeftCell="A16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5" customWidth="1"/>
    <col min="4" max="4" width="14.7109375" style="7" customWidth="1"/>
    <col min="5" max="5" width="12" style="7" bestFit="1" customWidth="1"/>
    <col min="6" max="6" width="10.28515625" style="7" bestFit="1" customWidth="1"/>
    <col min="7" max="7" width="10.28515625" style="8" bestFit="1" customWidth="1"/>
    <col min="8" max="8" width="10.42578125" style="8" bestFit="1" customWidth="1"/>
    <col min="9" max="16384" width="9.140625" style="6"/>
  </cols>
  <sheetData>
    <row r="1" spans="1:12" s="140" customFormat="1" ht="17.25" x14ac:dyDescent="0.3">
      <c r="A1" s="227">
        <v>26</v>
      </c>
      <c r="B1" s="228" t="s">
        <v>245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300.81785266837494</v>
      </c>
      <c r="E5" s="52">
        <f>E67</f>
        <v>0</v>
      </c>
      <c r="F5" s="52">
        <f t="shared" ref="F5:H5" si="1">F67</f>
        <v>0</v>
      </c>
      <c r="G5" s="52">
        <f t="shared" si="1"/>
        <v>0</v>
      </c>
      <c r="H5" s="52">
        <f t="shared" si="1"/>
        <v>300.81785266837494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E71</f>
        <v>0</v>
      </c>
      <c r="F6" s="52">
        <f t="shared" ref="F6:H6" si="2">F71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300.81785266837494</v>
      </c>
      <c r="E7" s="55">
        <f>SUBTOTAL(9,E5:E6)</f>
        <v>0</v>
      </c>
      <c r="F7" s="55">
        <f>SUBTOTAL(9,F5:F6)</f>
        <v>0</v>
      </c>
      <c r="G7" s="55">
        <f>SUBTOTAL(9,G5:G6)</f>
        <v>0</v>
      </c>
      <c r="H7" s="55">
        <f>SUBTOTAL(9,H5:H6)</f>
        <v>300.81785266837494</v>
      </c>
      <c r="I7" s="70"/>
    </row>
    <row r="8" spans="1:12" ht="4.5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4.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E109</f>
        <v>0</v>
      </c>
      <c r="F25" s="52">
        <f t="shared" ref="F25:H25" si="13">F109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5.25" customHeight="1" x14ac:dyDescent="0.25">
      <c r="D29" s="52"/>
      <c r="E29" s="52"/>
      <c r="F29" s="52"/>
      <c r="G29" s="44"/>
      <c r="H29" s="44"/>
    </row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  <c r="D44" s="52"/>
      <c r="E44" s="52"/>
      <c r="F44" s="52"/>
      <c r="G44" s="44"/>
      <c r="H44" s="44"/>
    </row>
    <row r="45" spans="1:12" x14ac:dyDescent="0.25">
      <c r="A45" s="16"/>
      <c r="B45" s="16" t="s">
        <v>261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261</v>
      </c>
      <c r="C46" s="2"/>
      <c r="D46" s="52">
        <f t="shared" ref="D46" si="20">SUM(E46:H46)</f>
        <v>72439.5</v>
      </c>
      <c r="E46" s="52">
        <f>E178</f>
        <v>0</v>
      </c>
      <c r="F46" s="52">
        <f t="shared" ref="F46:H46" si="21">F178</f>
        <v>31045.5</v>
      </c>
      <c r="G46" s="44">
        <f t="shared" si="21"/>
        <v>31045.5</v>
      </c>
      <c r="H46" s="44">
        <f t="shared" si="21"/>
        <v>10348.5</v>
      </c>
    </row>
    <row r="47" spans="1:12" ht="14.25" thickBot="1" x14ac:dyDescent="0.3">
      <c r="A47" s="13"/>
      <c r="B47" s="13" t="s">
        <v>266</v>
      </c>
      <c r="C47" s="13"/>
      <c r="D47" s="55">
        <f>SUBTOTAL(9,D46)</f>
        <v>72439.5</v>
      </c>
      <c r="E47" s="55">
        <f t="shared" ref="E47:H47" si="22">SUBTOTAL(9,E46)</f>
        <v>0</v>
      </c>
      <c r="F47" s="55">
        <f t="shared" si="22"/>
        <v>31045.5</v>
      </c>
      <c r="G47" s="55">
        <f t="shared" si="22"/>
        <v>31045.5</v>
      </c>
      <c r="H47" s="55">
        <f t="shared" si="22"/>
        <v>10348.5</v>
      </c>
    </row>
    <row r="48" spans="1:12" ht="5.25" customHeight="1" x14ac:dyDescent="0.25">
      <c r="A48" s="3"/>
      <c r="B48" s="6"/>
      <c r="C48" s="3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16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3"/>
      <c r="D50" s="52">
        <f t="shared" ref="D50:D51" si="23">SUM(E50:H50)</f>
        <v>0</v>
      </c>
      <c r="E50" s="52">
        <f>E149</f>
        <v>0</v>
      </c>
      <c r="F50" s="52">
        <f t="shared" ref="F50:H50" si="24">F149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3"/>
      <c r="D51" s="52">
        <f t="shared" si="23"/>
        <v>400</v>
      </c>
      <c r="E51" s="52">
        <f>E139</f>
        <v>0</v>
      </c>
      <c r="F51" s="52">
        <f t="shared" ref="F51:H51" si="25">F139</f>
        <v>0</v>
      </c>
      <c r="G51" s="52">
        <f t="shared" si="25"/>
        <v>0</v>
      </c>
      <c r="H51" s="52">
        <f t="shared" si="25"/>
        <v>400</v>
      </c>
    </row>
    <row r="52" spans="1:12" ht="14.25" thickBot="1" x14ac:dyDescent="0.3">
      <c r="A52" s="13"/>
      <c r="B52" s="13" t="s">
        <v>71</v>
      </c>
      <c r="C52" s="13"/>
      <c r="D52" s="55">
        <f>SUBTOTAL(9,D50:D51)</f>
        <v>400</v>
      </c>
      <c r="E52" s="55">
        <f>SUBTOTAL(9,E50:E51)</f>
        <v>0</v>
      </c>
      <c r="F52" s="55">
        <f>SUBTOTAL(9,F50:F51)</f>
        <v>0</v>
      </c>
      <c r="G52" s="55">
        <f>SUBTOTAL(9,G50:G51)</f>
        <v>0</v>
      </c>
      <c r="H52" s="55">
        <f>SUBTOTAL(9,H50:H51)</f>
        <v>400</v>
      </c>
    </row>
    <row r="53" spans="1:12" ht="6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56"/>
      <c r="D54" s="57">
        <f>SUBTOTAL(9,D5:D52)</f>
        <v>73140.317852668377</v>
      </c>
      <c r="E54" s="57">
        <f>SUBTOTAL(9,E5:E52)</f>
        <v>0</v>
      </c>
      <c r="F54" s="57">
        <f>SUBTOTAL(9,F5:F52)</f>
        <v>31045.5</v>
      </c>
      <c r="G54" s="57">
        <f>SUBTOTAL(9,G5:G52)</f>
        <v>31045.5</v>
      </c>
      <c r="H54" s="57">
        <f>SUBTOTAL(9,H5:H52)</f>
        <v>11049.317852668375</v>
      </c>
    </row>
    <row r="55" spans="1:12" ht="14.25" thickBot="1" x14ac:dyDescent="0.3">
      <c r="A55" s="1"/>
      <c r="B55" s="1"/>
      <c r="C55" s="1"/>
      <c r="D55" s="36"/>
      <c r="E55" s="36"/>
      <c r="F55" s="36"/>
      <c r="G55" s="29"/>
      <c r="H55" s="29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  <c r="D57" s="36"/>
      <c r="E57" s="36"/>
      <c r="F57" s="36"/>
      <c r="G57" s="29"/>
      <c r="H57" s="29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D59" s="36"/>
      <c r="E59" s="36"/>
      <c r="F59" s="36"/>
      <c r="G59" s="29"/>
      <c r="H59" s="29"/>
    </row>
    <row r="60" spans="1:12" hidden="1" x14ac:dyDescent="0.25">
      <c r="A60" s="58"/>
      <c r="B60" s="58" t="s">
        <v>0</v>
      </c>
      <c r="C60" s="58"/>
      <c r="D60" s="59"/>
      <c r="E60" s="60"/>
      <c r="F60" s="60"/>
      <c r="G60" s="60"/>
      <c r="H60" s="60"/>
    </row>
    <row r="61" spans="1:12" hidden="1" x14ac:dyDescent="0.25">
      <c r="B61" s="5" t="s">
        <v>2</v>
      </c>
      <c r="D61" s="36"/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</row>
    <row r="62" spans="1:12" hidden="1" x14ac:dyDescent="0.25">
      <c r="A62" s="9"/>
      <c r="B62" s="9" t="s">
        <v>37</v>
      </c>
      <c r="C62" s="9"/>
      <c r="D62" s="36"/>
      <c r="E62" s="52">
        <v>0</v>
      </c>
      <c r="F62" s="52">
        <v>0</v>
      </c>
      <c r="G62" s="52">
        <v>0</v>
      </c>
      <c r="H62" s="52">
        <v>0</v>
      </c>
    </row>
    <row r="63" spans="1:12" hidden="1" x14ac:dyDescent="0.25">
      <c r="A63" s="9"/>
      <c r="B63" s="9" t="s">
        <v>38</v>
      </c>
      <c r="C63" s="9"/>
      <c r="D63" s="37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</row>
    <row r="64" spans="1:12" hidden="1" x14ac:dyDescent="0.25">
      <c r="A64" s="9"/>
      <c r="B64" s="9" t="s">
        <v>39</v>
      </c>
      <c r="C64" s="9"/>
      <c r="D64" s="36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</row>
    <row r="65" spans="1:12" hidden="1" x14ac:dyDescent="0.25">
      <c r="A65" s="9"/>
      <c r="B65" s="9" t="s">
        <v>40</v>
      </c>
      <c r="C65" s="9"/>
      <c r="D65" s="36"/>
      <c r="E65" s="54">
        <v>0</v>
      </c>
      <c r="F65" s="52">
        <v>4</v>
      </c>
      <c r="G65" s="44">
        <v>12</v>
      </c>
      <c r="H65" s="44">
        <v>12</v>
      </c>
    </row>
    <row r="66" spans="1:12" hidden="1" x14ac:dyDescent="0.25">
      <c r="A66" s="9"/>
      <c r="B66" s="9"/>
      <c r="C66" s="9"/>
      <c r="D66" s="36"/>
      <c r="E66" s="52"/>
      <c r="F66" s="52"/>
      <c r="G66" s="44"/>
      <c r="H66" s="44"/>
    </row>
    <row r="67" spans="1:12" x14ac:dyDescent="0.25">
      <c r="B67" s="5" t="s">
        <v>23</v>
      </c>
      <c r="D67" s="36"/>
      <c r="E67" s="52">
        <f>E68*E69</f>
        <v>0</v>
      </c>
      <c r="F67" s="52">
        <f t="shared" ref="F67:H67" si="28">F68*F69</f>
        <v>0</v>
      </c>
      <c r="G67" s="52">
        <f t="shared" si="28"/>
        <v>0</v>
      </c>
      <c r="H67" s="52">
        <f t="shared" si="28"/>
        <v>300.81785266837494</v>
      </c>
      <c r="I67" s="70"/>
    </row>
    <row r="68" spans="1:12" x14ac:dyDescent="0.25">
      <c r="A68" s="9"/>
      <c r="B68" s="9" t="s">
        <v>129</v>
      </c>
      <c r="C68" s="9" t="s">
        <v>128</v>
      </c>
      <c r="D68" s="36"/>
      <c r="E68" s="52">
        <v>0</v>
      </c>
      <c r="F68" s="52">
        <v>0</v>
      </c>
      <c r="G68" s="52">
        <v>0</v>
      </c>
      <c r="H68" s="52">
        <v>15</v>
      </c>
      <c r="I68" s="70"/>
    </row>
    <row r="69" spans="1:12" x14ac:dyDescent="0.25">
      <c r="A69" s="9"/>
      <c r="B69" s="9" t="s">
        <v>41</v>
      </c>
      <c r="C69" s="9"/>
      <c r="D69" s="36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x14ac:dyDescent="0.25">
      <c r="D70" s="36"/>
      <c r="E70" s="52"/>
      <c r="F70" s="52"/>
      <c r="G70" s="44"/>
      <c r="H70" s="44"/>
      <c r="I70" s="70"/>
    </row>
    <row r="71" spans="1:12" s="7" customFormat="1" x14ac:dyDescent="0.25">
      <c r="A71" s="5"/>
      <c r="B71" s="5" t="s">
        <v>191</v>
      </c>
      <c r="C71" s="5"/>
      <c r="D71" s="36"/>
      <c r="E71" s="52">
        <f>E72*E73</f>
        <v>0</v>
      </c>
      <c r="F71" s="52">
        <f t="shared" ref="F71:H71" si="29">F72*F73</f>
        <v>0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x14ac:dyDescent="0.25">
      <c r="A72" s="9"/>
      <c r="B72" s="9" t="s">
        <v>193</v>
      </c>
      <c r="C72" s="9" t="s">
        <v>128</v>
      </c>
      <c r="D72" s="36"/>
      <c r="E72" s="52">
        <v>0</v>
      </c>
      <c r="F72" s="52">
        <v>0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x14ac:dyDescent="0.25">
      <c r="A73" s="9"/>
      <c r="B73" s="9" t="s">
        <v>41</v>
      </c>
      <c r="C73" s="9"/>
      <c r="D73" s="36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D74" s="36"/>
      <c r="E74" s="52"/>
      <c r="F74" s="52"/>
      <c r="G74" s="44"/>
      <c r="H74" s="44"/>
    </row>
    <row r="75" spans="1:12" s="7" customFormat="1" hidden="1" x14ac:dyDescent="0.25">
      <c r="A75" s="5"/>
      <c r="B75" s="5" t="s">
        <v>1</v>
      </c>
      <c r="C75" s="5"/>
      <c r="D75" s="36"/>
      <c r="E75" s="52"/>
      <c r="F75" s="52"/>
      <c r="G75" s="44"/>
      <c r="H75" s="44"/>
      <c r="I75" s="6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"/>
      <c r="D76" s="36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"/>
      <c r="D77" s="36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"/>
      <c r="D78" s="36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"/>
      <c r="D79" s="36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>
      <c r="D80" s="36"/>
      <c r="E80" s="52"/>
      <c r="F80" s="52"/>
      <c r="G80" s="44"/>
      <c r="H80" s="44"/>
    </row>
    <row r="81" spans="1:12" s="7" customFormat="1" hidden="1" x14ac:dyDescent="0.25">
      <c r="A81" s="5"/>
      <c r="B81" s="5" t="s">
        <v>3</v>
      </c>
      <c r="C81" s="5"/>
      <c r="D81" s="36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"/>
      <c r="D82" s="36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"/>
      <c r="D83" s="36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>
      <c r="D84" s="36"/>
      <c r="E84" s="52"/>
      <c r="F84" s="52"/>
      <c r="G84" s="44"/>
      <c r="H84" s="44"/>
    </row>
    <row r="85" spans="1:12" s="7" customFormat="1" hidden="1" x14ac:dyDescent="0.25">
      <c r="A85" s="5"/>
      <c r="B85" s="5" t="s">
        <v>4</v>
      </c>
      <c r="C85" s="5"/>
      <c r="D85" s="36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"/>
      <c r="D86" s="36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"/>
      <c r="D87" s="36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>
      <c r="D88" s="36"/>
      <c r="E88" s="52"/>
      <c r="F88" s="52"/>
      <c r="G88" s="44"/>
      <c r="H88" s="44"/>
    </row>
    <row r="89" spans="1:12" s="7" customFormat="1" hidden="1" x14ac:dyDescent="0.25">
      <c r="A89" s="9"/>
      <c r="B89" s="9" t="s">
        <v>40</v>
      </c>
      <c r="C89" s="9"/>
      <c r="D89" s="36"/>
      <c r="E89" s="54"/>
      <c r="F89" s="52"/>
      <c r="G89" s="44"/>
      <c r="H89" s="44"/>
      <c r="I89" s="6"/>
      <c r="J89" s="6"/>
      <c r="K89" s="6"/>
      <c r="L89" s="6"/>
    </row>
    <row r="90" spans="1:12" x14ac:dyDescent="0.25">
      <c r="D90" s="36"/>
      <c r="E90" s="52"/>
      <c r="F90" s="52"/>
      <c r="G90" s="44"/>
      <c r="H90" s="44"/>
    </row>
    <row r="91" spans="1:12" hidden="1" x14ac:dyDescent="0.25">
      <c r="A91" s="58"/>
      <c r="B91" s="58" t="s">
        <v>10</v>
      </c>
      <c r="C91" s="58"/>
      <c r="D91" s="59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5"/>
      <c r="D92" s="36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5"/>
      <c r="D93" s="36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>
      <c r="D94" s="36"/>
      <c r="E94" s="52"/>
      <c r="F94" s="52"/>
      <c r="G94" s="44"/>
      <c r="H94" s="44"/>
    </row>
    <row r="95" spans="1:12" s="7" customFormat="1" hidden="1" x14ac:dyDescent="0.25">
      <c r="A95" s="5"/>
      <c r="B95" s="9" t="s">
        <v>52</v>
      </c>
      <c r="C95" s="5"/>
      <c r="D95" s="36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5"/>
      <c r="D96" s="36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>
      <c r="D97" s="36"/>
      <c r="E97" s="52"/>
      <c r="F97" s="52"/>
      <c r="G97" s="44"/>
      <c r="H97" s="44"/>
    </row>
    <row r="98" spans="1:12" hidden="1" x14ac:dyDescent="0.25">
      <c r="D98" s="36"/>
      <c r="E98" s="52"/>
      <c r="F98" s="52"/>
      <c r="G98" s="44"/>
      <c r="H98" s="44"/>
    </row>
    <row r="99" spans="1:12" hidden="1" x14ac:dyDescent="0.25">
      <c r="A99" s="58"/>
      <c r="B99" s="58" t="s">
        <v>194</v>
      </c>
      <c r="C99" s="58"/>
      <c r="D99" s="59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" t="s">
        <v>163</v>
      </c>
      <c r="D100" s="36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5"/>
      <c r="D101" s="36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>
      <c r="D102" s="36"/>
      <c r="E102" s="52"/>
      <c r="F102" s="52"/>
      <c r="G102" s="44"/>
      <c r="H102" s="44"/>
    </row>
    <row r="103" spans="1:12" hidden="1" x14ac:dyDescent="0.25">
      <c r="A103" s="58"/>
      <c r="B103" s="58" t="s">
        <v>148</v>
      </c>
      <c r="C103" s="58"/>
      <c r="D103" s="59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5" t="s">
        <v>150</v>
      </c>
      <c r="D104" s="36"/>
      <c r="E104" s="52"/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D105" s="36"/>
      <c r="E105" s="52"/>
      <c r="F105" s="52">
        <f>F92</f>
        <v>0</v>
      </c>
      <c r="G105" s="52">
        <f t="shared" ref="G105:H105" si="33">G92</f>
        <v>0</v>
      </c>
      <c r="H105" s="52">
        <f t="shared" si="33"/>
        <v>0</v>
      </c>
    </row>
    <row r="106" spans="1:12" hidden="1" x14ac:dyDescent="0.25">
      <c r="B106" s="45" t="s">
        <v>152</v>
      </c>
      <c r="D106" s="36"/>
      <c r="E106" s="52"/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D107" s="36"/>
      <c r="E107" s="52"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/>
      <c r="D108" s="36"/>
      <c r="E108" s="52"/>
      <c r="F108" s="52"/>
      <c r="G108" s="44"/>
      <c r="H108" s="44"/>
    </row>
    <row r="109" spans="1:12" hidden="1" x14ac:dyDescent="0.25">
      <c r="A109" s="58"/>
      <c r="B109" s="58" t="s">
        <v>24</v>
      </c>
      <c r="C109" s="58"/>
      <c r="D109" s="59"/>
      <c r="E109" s="60">
        <f>E110*E111</f>
        <v>0</v>
      </c>
      <c r="F109" s="60">
        <f t="shared" ref="F109:H109" si="34">F110*F111</f>
        <v>0</v>
      </c>
      <c r="G109" s="60">
        <f t="shared" si="34"/>
        <v>0</v>
      </c>
      <c r="H109" s="60">
        <f t="shared" si="34"/>
        <v>0</v>
      </c>
    </row>
    <row r="110" spans="1:12" s="7" customFormat="1" hidden="1" x14ac:dyDescent="0.25">
      <c r="A110" s="5"/>
      <c r="B110" s="45" t="s">
        <v>54</v>
      </c>
      <c r="C110" s="5"/>
      <c r="D110" s="36"/>
      <c r="E110" s="52">
        <v>0</v>
      </c>
      <c r="F110" s="52">
        <v>0</v>
      </c>
      <c r="G110" s="52"/>
      <c r="H110" s="52"/>
      <c r="I110" s="6"/>
      <c r="J110" s="6"/>
      <c r="K110" s="6"/>
      <c r="L110" s="6"/>
    </row>
    <row r="111" spans="1:12" s="7" customFormat="1" hidden="1" x14ac:dyDescent="0.25">
      <c r="A111" s="5"/>
      <c r="B111" s="45" t="s">
        <v>55</v>
      </c>
      <c r="C111" s="5"/>
      <c r="D111" s="36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6"/>
      <c r="J111" s="6"/>
      <c r="K111" s="6"/>
      <c r="L111" s="6"/>
    </row>
    <row r="112" spans="1:12" hidden="1" x14ac:dyDescent="0.25">
      <c r="D112" s="36"/>
      <c r="E112" s="52"/>
      <c r="F112" s="52"/>
      <c r="G112" s="44"/>
      <c r="H112" s="44"/>
    </row>
    <row r="113" spans="1:12" hidden="1" x14ac:dyDescent="0.25">
      <c r="A113" s="58"/>
      <c r="B113" s="58" t="s">
        <v>7</v>
      </c>
      <c r="C113" s="58"/>
      <c r="D113" s="59"/>
      <c r="E113" s="59"/>
      <c r="F113" s="59"/>
      <c r="G113" s="59"/>
      <c r="H113" s="59"/>
    </row>
    <row r="114" spans="1:12" s="7" customFormat="1" hidden="1" x14ac:dyDescent="0.25">
      <c r="A114" s="5"/>
      <c r="B114" s="4" t="s">
        <v>58</v>
      </c>
      <c r="C114" s="5"/>
      <c r="D114" s="36"/>
      <c r="E114" s="36"/>
      <c r="F114" s="36"/>
      <c r="G114" s="29"/>
      <c r="H114" s="29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46" t="s">
        <v>56</v>
      </c>
      <c r="D115" s="48"/>
      <c r="E115" s="48"/>
      <c r="F115" s="48"/>
      <c r="G115" s="49"/>
      <c r="H115" s="49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D116" s="48"/>
      <c r="E116" s="48"/>
      <c r="F116" s="48"/>
      <c r="G116" s="49"/>
      <c r="H116" s="49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hidden="1" x14ac:dyDescent="0.25">
      <c r="D118" s="36"/>
      <c r="E118" s="36"/>
      <c r="F118" s="36"/>
      <c r="G118" s="29"/>
      <c r="H118" s="29"/>
    </row>
    <row r="119" spans="1:12" hidden="1" x14ac:dyDescent="0.25">
      <c r="A119" s="58"/>
      <c r="B119" s="58" t="s">
        <v>26</v>
      </c>
      <c r="C119" s="58"/>
      <c r="D119" s="59"/>
      <c r="E119" s="59"/>
      <c r="F119" s="59"/>
      <c r="G119" s="59"/>
      <c r="H119" s="59"/>
    </row>
    <row r="120" spans="1:12" s="5" customFormat="1" hidden="1" x14ac:dyDescent="0.25">
      <c r="B120" s="63" t="s">
        <v>61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63" t="s">
        <v>8</v>
      </c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hidden="1" x14ac:dyDescent="0.25">
      <c r="D129" s="36"/>
      <c r="E129" s="36"/>
      <c r="F129" s="36"/>
      <c r="G129" s="29"/>
      <c r="H129" s="29"/>
    </row>
    <row r="130" spans="1:12" hidden="1" x14ac:dyDescent="0.25">
      <c r="A130" s="58"/>
      <c r="B130" s="58" t="s">
        <v>25</v>
      </c>
      <c r="C130" s="58"/>
      <c r="D130" s="59"/>
      <c r="E130" s="59"/>
      <c r="F130" s="59"/>
      <c r="G130" s="59"/>
      <c r="H130" s="59"/>
    </row>
    <row r="131" spans="1:12" s="5" customFormat="1" hidden="1" x14ac:dyDescent="0.25">
      <c r="B131" s="47" t="s">
        <v>64</v>
      </c>
      <c r="D131" s="36"/>
      <c r="E131" s="36"/>
      <c r="F131" s="36"/>
      <c r="G131" s="29"/>
      <c r="H131" s="29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D132" s="36"/>
      <c r="E132" s="36"/>
      <c r="F132" s="36"/>
      <c r="G132" s="29"/>
      <c r="H132" s="29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D133" s="36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D134" s="36"/>
      <c r="E134" s="52">
        <f>E135+E136*E137</f>
        <v>0</v>
      </c>
      <c r="F134" s="52">
        <f t="shared" ref="F134:H134" si="35">F135+F136*F137</f>
        <v>0</v>
      </c>
      <c r="G134" s="52">
        <f t="shared" si="35"/>
        <v>0</v>
      </c>
      <c r="H134" s="52">
        <f t="shared" si="35"/>
        <v>0</v>
      </c>
    </row>
    <row r="135" spans="1:12" hidden="1" x14ac:dyDescent="0.25">
      <c r="B135" s="47" t="s">
        <v>220</v>
      </c>
      <c r="D135" s="36"/>
      <c r="E135" s="52"/>
      <c r="F135" s="52">
        <f>'Rates and GI'!D56*0</f>
        <v>0</v>
      </c>
      <c r="G135" s="44"/>
      <c r="H135" s="44"/>
    </row>
    <row r="136" spans="1:12" hidden="1" x14ac:dyDescent="0.25">
      <c r="B136" s="47" t="s">
        <v>178</v>
      </c>
      <c r="D136" s="36"/>
      <c r="E136" s="68">
        <f>'Rates and GI'!$D$59</f>
        <v>0.02</v>
      </c>
      <c r="F136" s="68">
        <f>'Rates and GI'!$D$59</f>
        <v>0.02</v>
      </c>
      <c r="G136" s="68">
        <f>'Rates and GI'!$D$59</f>
        <v>0.02</v>
      </c>
      <c r="H136" s="68">
        <f>'Rates and GI'!$D$59</f>
        <v>0.02</v>
      </c>
    </row>
    <row r="137" spans="1:12" hidden="1" x14ac:dyDescent="0.25">
      <c r="B137" s="47" t="s">
        <v>179</v>
      </c>
      <c r="D137" s="36"/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D138" s="36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58"/>
      <c r="D139" s="59"/>
      <c r="E139" s="60">
        <f>E140*E141+E142*E143++E144*E145+E146*E147</f>
        <v>0</v>
      </c>
      <c r="F139" s="60">
        <f t="shared" ref="F139:H139" si="36">F140*F141+F142*F143++F144*F145+F146*F147</f>
        <v>0</v>
      </c>
      <c r="G139" s="60">
        <f t="shared" si="36"/>
        <v>0</v>
      </c>
      <c r="H139" s="60">
        <f t="shared" si="36"/>
        <v>400</v>
      </c>
    </row>
    <row r="140" spans="1:12" hidden="1" x14ac:dyDescent="0.25">
      <c r="B140" s="47" t="s">
        <v>169</v>
      </c>
      <c r="D140" s="36"/>
      <c r="E140" s="52"/>
      <c r="F140" s="52"/>
      <c r="G140" s="52">
        <v>0</v>
      </c>
      <c r="H140" s="52"/>
    </row>
    <row r="141" spans="1:12" hidden="1" x14ac:dyDescent="0.25">
      <c r="B141" s="47" t="s">
        <v>170</v>
      </c>
      <c r="D141" s="36"/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D142" s="36"/>
      <c r="E142" s="52"/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D143" s="36"/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D144" s="36"/>
      <c r="E144" s="52">
        <v>0</v>
      </c>
      <c r="F144" s="52">
        <v>0</v>
      </c>
      <c r="G144" s="52">
        <v>0</v>
      </c>
      <c r="H144" s="52">
        <v>2</v>
      </c>
    </row>
    <row r="145" spans="1:12" ht="27" x14ac:dyDescent="0.25">
      <c r="B145" s="71" t="s">
        <v>182</v>
      </c>
      <c r="D145" s="36"/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x14ac:dyDescent="0.25">
      <c r="B146" s="47" t="s">
        <v>354</v>
      </c>
      <c r="D146" s="36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x14ac:dyDescent="0.25">
      <c r="B147" s="47" t="s">
        <v>349</v>
      </c>
      <c r="D147" s="36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8" spans="1:12" x14ac:dyDescent="0.25">
      <c r="D148" s="36"/>
      <c r="E148" s="52"/>
      <c r="F148" s="52"/>
      <c r="G148" s="44"/>
      <c r="H148" s="44"/>
    </row>
    <row r="149" spans="1:12" hidden="1" x14ac:dyDescent="0.25">
      <c r="A149" s="58"/>
      <c r="B149" s="58" t="s">
        <v>218</v>
      </c>
      <c r="C149" s="58"/>
      <c r="D149" s="59"/>
      <c r="E149" s="60">
        <f>E150+E153+E156+E165+E170</f>
        <v>0</v>
      </c>
      <c r="F149" s="60">
        <f t="shared" ref="F149:H149" si="37">F150+F153+F156+F165+F170</f>
        <v>0</v>
      </c>
      <c r="G149" s="60">
        <f t="shared" si="37"/>
        <v>0</v>
      </c>
      <c r="H149" s="60">
        <f t="shared" si="37"/>
        <v>0</v>
      </c>
    </row>
    <row r="150" spans="1:12" s="5" customFormat="1" hidden="1" x14ac:dyDescent="0.25">
      <c r="B150" s="5" t="s">
        <v>197</v>
      </c>
      <c r="D150" s="36"/>
      <c r="E150" s="52">
        <f>E151+E154*E155</f>
        <v>0</v>
      </c>
      <c r="F150" s="52">
        <f>F151+F154*F155</f>
        <v>0</v>
      </c>
      <c r="G150" s="52">
        <f>G151+G154*G155</f>
        <v>0</v>
      </c>
      <c r="H150" s="52">
        <f t="shared" ref="H150" si="38">H151+H154*H155</f>
        <v>0</v>
      </c>
    </row>
    <row r="151" spans="1:12" hidden="1" x14ac:dyDescent="0.25">
      <c r="B151" s="47" t="s">
        <v>208</v>
      </c>
      <c r="D151" s="36"/>
      <c r="E151" s="52"/>
      <c r="F151" s="52">
        <f>('Rates and GI'!$D$56+'Rates and GI'!$D$60)*0</f>
        <v>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D152" s="36"/>
      <c r="E152" s="52"/>
      <c r="F152" s="52">
        <f>'Rates and GI'!$D$62*0</f>
        <v>0</v>
      </c>
      <c r="G152" s="52">
        <f>'Rates and GI'!$D$62*0</f>
        <v>0</v>
      </c>
      <c r="H152" s="52"/>
    </row>
    <row r="153" spans="1:12" hidden="1" x14ac:dyDescent="0.25">
      <c r="B153" s="5" t="s">
        <v>198</v>
      </c>
      <c r="D153" s="36"/>
      <c r="E153" s="52">
        <f>E154*E155</f>
        <v>0</v>
      </c>
      <c r="F153" s="52">
        <f t="shared" ref="F153:H153" si="39">F154*F155</f>
        <v>0</v>
      </c>
      <c r="G153" s="52">
        <f t="shared" si="39"/>
        <v>0</v>
      </c>
      <c r="H153" s="52">
        <f t="shared" si="39"/>
        <v>0</v>
      </c>
    </row>
    <row r="154" spans="1:12" hidden="1" x14ac:dyDescent="0.25">
      <c r="B154" s="47" t="s">
        <v>186</v>
      </c>
      <c r="D154" s="36"/>
      <c r="E154" s="52"/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hidden="1" x14ac:dyDescent="0.25">
      <c r="B155" s="47" t="s">
        <v>185</v>
      </c>
      <c r="D155" s="36"/>
      <c r="E155" s="52"/>
      <c r="F155" s="52">
        <v>0</v>
      </c>
      <c r="G155" s="52">
        <v>0</v>
      </c>
      <c r="H155" s="52">
        <v>0</v>
      </c>
    </row>
    <row r="156" spans="1:12" hidden="1" x14ac:dyDescent="0.25">
      <c r="B156" s="5" t="s">
        <v>199</v>
      </c>
      <c r="D156" s="36"/>
      <c r="E156" s="52">
        <f>E157+E161</f>
        <v>0</v>
      </c>
      <c r="F156" s="52">
        <f t="shared" ref="F156:H156" si="40">F157+F161</f>
        <v>0</v>
      </c>
      <c r="G156" s="52">
        <f t="shared" si="40"/>
        <v>0</v>
      </c>
      <c r="H156" s="52">
        <f t="shared" si="40"/>
        <v>0</v>
      </c>
    </row>
    <row r="157" spans="1:12" hidden="1" x14ac:dyDescent="0.25">
      <c r="B157" s="47" t="s">
        <v>213</v>
      </c>
      <c r="D157" s="36"/>
      <c r="E157" s="52">
        <f>E158*E159</f>
        <v>0</v>
      </c>
      <c r="F157" s="52">
        <f t="shared" ref="F157:H157" si="41">F158*F159</f>
        <v>0</v>
      </c>
      <c r="G157" s="52">
        <f t="shared" si="41"/>
        <v>0</v>
      </c>
      <c r="H157" s="52">
        <f t="shared" si="41"/>
        <v>0</v>
      </c>
    </row>
    <row r="158" spans="1:12" hidden="1" x14ac:dyDescent="0.25">
      <c r="B158" s="47" t="s">
        <v>200</v>
      </c>
      <c r="C158" s="5" t="s">
        <v>201</v>
      </c>
      <c r="D158" s="36"/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D159" s="36"/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  <c r="D160" s="36"/>
      <c r="E160" s="52"/>
      <c r="F160" s="52"/>
      <c r="G160" s="44"/>
      <c r="H160" s="44"/>
    </row>
    <row r="161" spans="1:12" hidden="1" x14ac:dyDescent="0.25">
      <c r="B161" s="47" t="s">
        <v>214</v>
      </c>
      <c r="D161" s="36"/>
      <c r="E161" s="52">
        <f>E162*E163</f>
        <v>0</v>
      </c>
      <c r="F161" s="52">
        <f t="shared" ref="F161:H161" si="42">F162*F163</f>
        <v>0</v>
      </c>
      <c r="G161" s="52">
        <f t="shared" si="42"/>
        <v>0</v>
      </c>
      <c r="H161" s="52">
        <f t="shared" si="42"/>
        <v>0</v>
      </c>
    </row>
    <row r="162" spans="1:12" hidden="1" x14ac:dyDescent="0.25">
      <c r="B162" s="47" t="s">
        <v>200</v>
      </c>
      <c r="C162" s="5" t="s">
        <v>201</v>
      </c>
      <c r="D162" s="36"/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D163" s="36"/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  <c r="D164" s="36"/>
      <c r="E164" s="52"/>
      <c r="F164" s="52"/>
      <c r="G164" s="44"/>
      <c r="H164" s="44"/>
    </row>
    <row r="165" spans="1:12" hidden="1" x14ac:dyDescent="0.25">
      <c r="B165" s="5" t="s">
        <v>203</v>
      </c>
      <c r="D165" s="36"/>
      <c r="E165" s="52">
        <f>E166*E167*E168</f>
        <v>0</v>
      </c>
      <c r="F165" s="52">
        <f t="shared" ref="F165:H165" si="43">F166*F167*F168</f>
        <v>0</v>
      </c>
      <c r="G165" s="52">
        <f t="shared" si="43"/>
        <v>0</v>
      </c>
      <c r="H165" s="52">
        <f t="shared" si="43"/>
        <v>0</v>
      </c>
    </row>
    <row r="166" spans="1:12" hidden="1" x14ac:dyDescent="0.25">
      <c r="B166" s="47" t="s">
        <v>215</v>
      </c>
      <c r="D166" s="36"/>
      <c r="E166" s="52"/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D167" s="36"/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D168" s="36"/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>
      <c r="D169" s="36"/>
      <c r="E169" s="52"/>
      <c r="F169" s="52"/>
      <c r="G169" s="44"/>
      <c r="H169" s="44"/>
    </row>
    <row r="170" spans="1:12" hidden="1" x14ac:dyDescent="0.25">
      <c r="B170" s="5" t="s">
        <v>196</v>
      </c>
      <c r="D170" s="36"/>
      <c r="E170" s="52">
        <f>E171+E172*E173</f>
        <v>0</v>
      </c>
      <c r="F170" s="52">
        <f>F171+F172*F173</f>
        <v>0</v>
      </c>
      <c r="G170" s="52">
        <f>G171+G172*G173</f>
        <v>0</v>
      </c>
      <c r="H170" s="52">
        <f>H171+H172*H173</f>
        <v>0</v>
      </c>
    </row>
    <row r="171" spans="1:12" hidden="1" x14ac:dyDescent="0.25">
      <c r="B171" s="47" t="s">
        <v>172</v>
      </c>
      <c r="D171" s="36"/>
      <c r="E171" s="52"/>
      <c r="F171" s="52">
        <f>'Rates and GI'!D57*0</f>
        <v>0</v>
      </c>
      <c r="G171" s="44"/>
      <c r="H171" s="44"/>
    </row>
    <row r="172" spans="1:12" hidden="1" x14ac:dyDescent="0.25">
      <c r="B172" s="47" t="s">
        <v>178</v>
      </c>
      <c r="D172" s="36"/>
      <c r="E172" s="52"/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hidden="1" x14ac:dyDescent="0.25">
      <c r="B173" s="47" t="s">
        <v>179</v>
      </c>
      <c r="D173" s="36"/>
      <c r="E173" s="52"/>
      <c r="F173" s="52">
        <v>0</v>
      </c>
      <c r="G173" s="44">
        <v>0</v>
      </c>
      <c r="H173" s="44"/>
    </row>
    <row r="174" spans="1:12" hidden="1" x14ac:dyDescent="0.25">
      <c r="D174" s="36"/>
      <c r="E174" s="52"/>
      <c r="F174" s="52"/>
      <c r="G174" s="44"/>
      <c r="H174" s="44"/>
    </row>
    <row r="175" spans="1:12" x14ac:dyDescent="0.25">
      <c r="A175" s="58"/>
      <c r="B175" s="86" t="s">
        <v>429</v>
      </c>
      <c r="C175" s="58"/>
      <c r="D175" s="59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90">
        <f>SUM(E176:H176)</f>
        <v>28</v>
      </c>
      <c r="D176" s="36"/>
      <c r="E176" s="52">
        <v>0</v>
      </c>
      <c r="F176" s="52">
        <v>12</v>
      </c>
      <c r="G176" s="52">
        <v>12</v>
      </c>
      <c r="H176" s="52">
        <v>4</v>
      </c>
      <c r="I176" s="6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Soft!E4</f>
        <v>72439.5</v>
      </c>
      <c r="D177" s="36"/>
      <c r="E177" s="52"/>
      <c r="F177" s="52"/>
      <c r="G177" s="52"/>
      <c r="H177" s="52"/>
      <c r="I177" s="6"/>
      <c r="J177" s="6"/>
      <c r="K177" s="6"/>
      <c r="L177" s="6"/>
    </row>
    <row r="178" spans="1:12" x14ac:dyDescent="0.25">
      <c r="B178" s="45" t="s">
        <v>265</v>
      </c>
      <c r="E178" s="7">
        <f>$C$177/$C$176*E176</f>
        <v>0</v>
      </c>
      <c r="F178" s="7">
        <f t="shared" ref="F178:H178" si="44">$C$177/$C$176*F176</f>
        <v>31045.5</v>
      </c>
      <c r="G178" s="7">
        <f t="shared" si="44"/>
        <v>31045.5</v>
      </c>
      <c r="H178" s="7">
        <f t="shared" si="44"/>
        <v>10348.5</v>
      </c>
    </row>
    <row r="179" spans="1:12" x14ac:dyDescent="0.25">
      <c r="A179" s="58"/>
      <c r="B179" s="58"/>
      <c r="C179" s="58"/>
      <c r="D179" s="59"/>
      <c r="E179" s="60"/>
      <c r="F179" s="60"/>
      <c r="G179" s="60"/>
      <c r="H179" s="6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8"/>
  <sheetViews>
    <sheetView zoomScaleNormal="100" workbookViewId="0">
      <pane xSplit="2" ySplit="3" topLeftCell="C49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7" customWidth="1"/>
    <col min="5" max="5" width="12" style="7" bestFit="1" customWidth="1"/>
    <col min="6" max="6" width="10.28515625" style="7" bestFit="1" customWidth="1"/>
    <col min="7" max="7" width="11.7109375" style="8" bestFit="1" customWidth="1"/>
    <col min="8" max="8" width="11.85546875" style="8" customWidth="1"/>
    <col min="9" max="16384" width="9.140625" style="6"/>
  </cols>
  <sheetData>
    <row r="1" spans="1:12" s="140" customFormat="1" ht="17.25" x14ac:dyDescent="0.3">
      <c r="A1" s="227">
        <v>1</v>
      </c>
      <c r="B1" s="228" t="s">
        <v>221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4" t="s">
        <v>232</v>
      </c>
      <c r="D5" s="52">
        <f>SUBTOTAL(9,D6:D7)</f>
        <v>11805.501557542855</v>
      </c>
      <c r="E5" s="52">
        <f>SUBTOTAL(9,E6:E7)</f>
        <v>4175.4720000000007</v>
      </c>
      <c r="F5" s="52">
        <f>SUBTOTAL(9,F6:F7)</f>
        <v>0</v>
      </c>
      <c r="G5" s="52">
        <f t="shared" ref="G5:H5" si="0">SUBTOTAL(9,G6:G7)</f>
        <v>3734.7183345779999</v>
      </c>
      <c r="H5" s="52">
        <f t="shared" si="0"/>
        <v>3895.3112229648536</v>
      </c>
      <c r="I5" s="70"/>
    </row>
    <row r="6" spans="1:12" x14ac:dyDescent="0.25">
      <c r="B6" s="17" t="s">
        <v>23</v>
      </c>
      <c r="D6" s="52">
        <f t="shared" ref="D6:D11" si="1">SUM(E6:H6)</f>
        <v>742.35</v>
      </c>
      <c r="E6" s="52">
        <f>E69</f>
        <v>742.35</v>
      </c>
      <c r="F6" s="52">
        <f t="shared" ref="F6:H6" si="2">F69</f>
        <v>0</v>
      </c>
      <c r="G6" s="52">
        <f t="shared" si="2"/>
        <v>0</v>
      </c>
      <c r="H6" s="52">
        <f t="shared" si="2"/>
        <v>0</v>
      </c>
      <c r="I6" s="70"/>
    </row>
    <row r="7" spans="1:12" x14ac:dyDescent="0.25">
      <c r="B7" s="17" t="s">
        <v>191</v>
      </c>
      <c r="D7" s="52">
        <f t="shared" si="1"/>
        <v>11063.151557542855</v>
      </c>
      <c r="E7" s="52">
        <f>E73</f>
        <v>3433.1220000000008</v>
      </c>
      <c r="F7" s="52">
        <f t="shared" ref="F7:H7" si="3">F73</f>
        <v>0</v>
      </c>
      <c r="G7" s="52">
        <f t="shared" si="3"/>
        <v>3734.7183345779999</v>
      </c>
      <c r="H7" s="52">
        <f t="shared" si="3"/>
        <v>3895.3112229648536</v>
      </c>
      <c r="I7" s="70"/>
    </row>
    <row r="8" spans="1:12" x14ac:dyDescent="0.25">
      <c r="B8" s="14" t="s">
        <v>233</v>
      </c>
      <c r="D8" s="52">
        <f>SUBTOTAL(9,D9:D11)</f>
        <v>969630.03999999992</v>
      </c>
      <c r="E8" s="52">
        <f t="shared" ref="E8:H8" si="4">SUBTOTAL(9,E9:E11)</f>
        <v>57372.04</v>
      </c>
      <c r="F8" s="52">
        <f>SUBTOTAL(9,F9:F11)</f>
        <v>261348</v>
      </c>
      <c r="G8" s="52">
        <f t="shared" si="4"/>
        <v>308220</v>
      </c>
      <c r="H8" s="52">
        <f t="shared" si="4"/>
        <v>342690</v>
      </c>
      <c r="I8" s="70"/>
    </row>
    <row r="9" spans="1:12" x14ac:dyDescent="0.25">
      <c r="B9" s="17" t="s">
        <v>225</v>
      </c>
      <c r="D9" s="52">
        <f t="shared" si="1"/>
        <v>176362.72</v>
      </c>
      <c r="E9" s="52">
        <f>E81</f>
        <v>16402.72</v>
      </c>
      <c r="F9" s="52">
        <f t="shared" ref="F9:H9" si="5">F81</f>
        <v>52080</v>
      </c>
      <c r="G9" s="52">
        <f t="shared" si="5"/>
        <v>52080</v>
      </c>
      <c r="H9" s="52">
        <f t="shared" si="5"/>
        <v>55800</v>
      </c>
      <c r="I9" s="70"/>
    </row>
    <row r="10" spans="1:12" x14ac:dyDescent="0.25">
      <c r="B10" s="17" t="s">
        <v>1</v>
      </c>
      <c r="D10" s="52">
        <f t="shared" si="1"/>
        <v>658150.72</v>
      </c>
      <c r="E10" s="52">
        <f>E89</f>
        <v>28402.720000000001</v>
      </c>
      <c r="F10" s="52">
        <f t="shared" ref="F10:H10" si="6">F89</f>
        <v>169368</v>
      </c>
      <c r="G10" s="52">
        <f t="shared" si="6"/>
        <v>216240</v>
      </c>
      <c r="H10" s="52">
        <f t="shared" si="6"/>
        <v>244140.00000000003</v>
      </c>
      <c r="I10" s="70"/>
    </row>
    <row r="11" spans="1:12" x14ac:dyDescent="0.25">
      <c r="B11" s="17" t="s">
        <v>229</v>
      </c>
      <c r="D11" s="52">
        <f t="shared" si="1"/>
        <v>135116.6</v>
      </c>
      <c r="E11" s="52">
        <f>E107</f>
        <v>12566.599999999999</v>
      </c>
      <c r="F11" s="52">
        <f t="shared" ref="F11:H11" si="7">F107</f>
        <v>39900</v>
      </c>
      <c r="G11" s="52">
        <f t="shared" si="7"/>
        <v>39900</v>
      </c>
      <c r="H11" s="52">
        <f t="shared" si="7"/>
        <v>42750</v>
      </c>
      <c r="I11" s="70"/>
    </row>
    <row r="12" spans="1:12" ht="14.25" thickBot="1" x14ac:dyDescent="0.3">
      <c r="A12" s="13"/>
      <c r="B12" s="13" t="s">
        <v>5</v>
      </c>
      <c r="C12" s="13"/>
      <c r="D12" s="55">
        <f>SUBTOTAL(9,D6:D11)</f>
        <v>981435.54155754286</v>
      </c>
      <c r="E12" s="55">
        <f>SUBTOTAL(9,E6:E11)</f>
        <v>61547.512000000002</v>
      </c>
      <c r="F12" s="55">
        <f>SUBTOTAL(9,F6:F11)</f>
        <v>261348</v>
      </c>
      <c r="G12" s="55">
        <f>SUBTOTAL(9,G6:G11)</f>
        <v>311954.71833457798</v>
      </c>
      <c r="H12" s="55">
        <f>SUBTOTAL(9,H6:H11)</f>
        <v>346585.3112229649</v>
      </c>
      <c r="I12" s="70"/>
    </row>
    <row r="13" spans="1:12" ht="7.5" customHeight="1" x14ac:dyDescent="0.25">
      <c r="D13" s="36"/>
      <c r="E13" s="36"/>
      <c r="F13" s="36"/>
      <c r="G13" s="29"/>
      <c r="H13" s="29"/>
      <c r="I13" s="70"/>
    </row>
    <row r="14" spans="1:12" x14ac:dyDescent="0.25">
      <c r="A14" s="16"/>
      <c r="B14" s="16" t="s">
        <v>11</v>
      </c>
      <c r="C14" s="16"/>
      <c r="D14" s="34"/>
      <c r="E14" s="34"/>
      <c r="F14" s="34"/>
      <c r="G14" s="35"/>
      <c r="H14" s="35"/>
      <c r="I14" s="69"/>
      <c r="J14" s="12"/>
      <c r="K14" s="12"/>
      <c r="L14" s="12"/>
    </row>
    <row r="15" spans="1:12" x14ac:dyDescent="0.25">
      <c r="B15" s="17" t="s">
        <v>10</v>
      </c>
      <c r="D15" s="52">
        <f t="shared" ref="D15:D16" si="8">SUM(E15:H15)</f>
        <v>65390.65045500001</v>
      </c>
      <c r="E15" s="52">
        <f>E119</f>
        <v>2890.9833550000003</v>
      </c>
      <c r="F15" s="52">
        <f t="shared" ref="F15:H15" si="9">F119</f>
        <v>20833.222366666669</v>
      </c>
      <c r="G15" s="52">
        <f t="shared" si="9"/>
        <v>20833.222366666669</v>
      </c>
      <c r="H15" s="52">
        <f t="shared" si="9"/>
        <v>20833.222366666669</v>
      </c>
      <c r="I15" s="70"/>
    </row>
    <row r="16" spans="1:12" x14ac:dyDescent="0.25">
      <c r="B16" s="17" t="s">
        <v>130</v>
      </c>
      <c r="D16" s="52">
        <f t="shared" si="8"/>
        <v>96963.004000000015</v>
      </c>
      <c r="E16" s="52">
        <f>(E12-E6-E7)*'Rates and GI'!$E$19</f>
        <v>5737.2040000000006</v>
      </c>
      <c r="F16" s="52">
        <f>(F12-F6-F7)*'Rates and GI'!$E$19</f>
        <v>26134.800000000003</v>
      </c>
      <c r="G16" s="52">
        <f>(G12-G6-G7)*'Rates and GI'!$E$19</f>
        <v>30822</v>
      </c>
      <c r="H16" s="52">
        <f>(H12-H6-H7)*'Rates and GI'!$E$19</f>
        <v>34269.000000000007</v>
      </c>
      <c r="I16" s="70"/>
    </row>
    <row r="17" spans="1:12" ht="14.25" thickBot="1" x14ac:dyDescent="0.3">
      <c r="A17" s="13"/>
      <c r="B17" s="13" t="s">
        <v>68</v>
      </c>
      <c r="C17" s="13"/>
      <c r="D17" s="55">
        <f>SUBTOTAL(9,D15:D16)</f>
        <v>162353.65445500001</v>
      </c>
      <c r="E17" s="55">
        <f t="shared" ref="E17:H17" si="10">SUBTOTAL(9,E15:E16)</f>
        <v>8628.1873550000018</v>
      </c>
      <c r="F17" s="55">
        <f>SUBTOTAL(9,F15:F16)</f>
        <v>46968.022366666672</v>
      </c>
      <c r="G17" s="55">
        <f t="shared" si="10"/>
        <v>51655.222366666669</v>
      </c>
      <c r="H17" s="55">
        <f t="shared" si="10"/>
        <v>55102.222366666676</v>
      </c>
      <c r="I17" s="70"/>
    </row>
    <row r="18" spans="1:12" ht="6" customHeight="1" x14ac:dyDescent="0.25">
      <c r="D18" s="36"/>
      <c r="E18" s="36"/>
      <c r="F18" s="36"/>
      <c r="G18" s="29"/>
      <c r="H18" s="29"/>
      <c r="I18" s="70"/>
    </row>
    <row r="19" spans="1:12" x14ac:dyDescent="0.25">
      <c r="A19" s="16"/>
      <c r="B19" s="16" t="s">
        <v>12</v>
      </c>
      <c r="C19" s="16"/>
      <c r="D19" s="34"/>
      <c r="E19" s="34"/>
      <c r="F19" s="34"/>
      <c r="G19" s="35"/>
      <c r="H19" s="35"/>
      <c r="I19" s="69"/>
      <c r="J19" s="12"/>
      <c r="K19" s="12"/>
      <c r="L19" s="12"/>
    </row>
    <row r="20" spans="1:12" x14ac:dyDescent="0.25">
      <c r="B20" s="17" t="s">
        <v>192</v>
      </c>
      <c r="D20" s="52">
        <f t="shared" ref="D20:D21" si="11">SUM(E20:H20)</f>
        <v>2295.9810906111038</v>
      </c>
      <c r="E20" s="52">
        <f>E127</f>
        <v>712.48985000000005</v>
      </c>
      <c r="F20" s="52">
        <f t="shared" ref="F20:H20" si="12">F127</f>
        <v>0</v>
      </c>
      <c r="G20" s="52">
        <f t="shared" si="12"/>
        <v>775.08137083265001</v>
      </c>
      <c r="H20" s="52">
        <f t="shared" si="12"/>
        <v>808.40986977845387</v>
      </c>
      <c r="I20" s="70"/>
    </row>
    <row r="21" spans="1:12" x14ac:dyDescent="0.25">
      <c r="B21" s="17" t="s">
        <v>73</v>
      </c>
      <c r="D21" s="52">
        <f t="shared" si="11"/>
        <v>3339.3337341999995</v>
      </c>
      <c r="E21" s="52">
        <f>E130</f>
        <v>834.83343354999988</v>
      </c>
      <c r="F21" s="52">
        <f t="shared" ref="F21:H21" si="13">F130</f>
        <v>834.83343354999988</v>
      </c>
      <c r="G21" s="52">
        <f t="shared" si="13"/>
        <v>834.83343354999988</v>
      </c>
      <c r="H21" s="52">
        <f t="shared" si="13"/>
        <v>834.83343354999988</v>
      </c>
      <c r="I21" s="70"/>
    </row>
    <row r="22" spans="1:12" ht="14.25" thickBot="1" x14ac:dyDescent="0.3">
      <c r="A22" s="13"/>
      <c r="B22" s="13" t="s">
        <v>76</v>
      </c>
      <c r="C22" s="13"/>
      <c r="D22" s="55">
        <f>SUBTOTAL(9,D20:D21)</f>
        <v>5635.3148248111029</v>
      </c>
      <c r="E22" s="55">
        <f t="shared" ref="E22:H22" si="14">SUBTOTAL(9,E20:E21)</f>
        <v>1547.3232835499998</v>
      </c>
      <c r="F22" s="55">
        <f t="shared" si="14"/>
        <v>834.83343354999988</v>
      </c>
      <c r="G22" s="55">
        <f t="shared" si="14"/>
        <v>1609.9148043826499</v>
      </c>
      <c r="H22" s="55">
        <f t="shared" si="14"/>
        <v>1643.2433033284537</v>
      </c>
      <c r="I22" s="70"/>
    </row>
    <row r="23" spans="1:12" ht="6" customHeight="1" x14ac:dyDescent="0.25">
      <c r="D23" s="36"/>
      <c r="E23" s="36"/>
      <c r="F23" s="36"/>
      <c r="G23" s="29"/>
      <c r="H23" s="29"/>
      <c r="I23" s="70"/>
    </row>
    <row r="24" spans="1:12" x14ac:dyDescent="0.25">
      <c r="A24" s="16"/>
      <c r="B24" s="16" t="s">
        <v>156</v>
      </c>
      <c r="C24" s="16"/>
      <c r="D24" s="34"/>
      <c r="E24" s="34"/>
      <c r="F24" s="34"/>
      <c r="G24" s="35"/>
      <c r="H24" s="35"/>
      <c r="I24" s="12"/>
      <c r="J24" s="12"/>
      <c r="K24" s="12"/>
      <c r="L24" s="12"/>
    </row>
    <row r="25" spans="1:12" x14ac:dyDescent="0.25">
      <c r="B25" s="17" t="s">
        <v>148</v>
      </c>
      <c r="D25" s="52">
        <f t="shared" ref="D25" si="15">SUM(E25:H25)</f>
        <v>11032.682278124999</v>
      </c>
      <c r="E25" s="52">
        <f>E132</f>
        <v>0</v>
      </c>
      <c r="F25" s="52">
        <f t="shared" ref="F25:H25" si="16">F132</f>
        <v>4037.3209999999999</v>
      </c>
      <c r="G25" s="52">
        <f t="shared" si="16"/>
        <v>4189.8366249999999</v>
      </c>
      <c r="H25" s="52">
        <f t="shared" si="16"/>
        <v>2805.5246531249995</v>
      </c>
    </row>
    <row r="26" spans="1:12" x14ac:dyDescent="0.25">
      <c r="B26" s="17" t="s">
        <v>157</v>
      </c>
      <c r="D26" s="52">
        <f t="shared" ref="D26" si="17">SUM(E26:H26)</f>
        <v>0</v>
      </c>
      <c r="E26" s="52"/>
      <c r="F26" s="52"/>
      <c r="G26" s="44"/>
      <c r="H26" s="44"/>
    </row>
    <row r="27" spans="1:12" ht="14.25" thickBot="1" x14ac:dyDescent="0.3">
      <c r="A27" s="13"/>
      <c r="B27" s="13" t="s">
        <v>158</v>
      </c>
      <c r="C27" s="13"/>
      <c r="D27" s="55">
        <f>SUBTOTAL(9,D25:D26)</f>
        <v>11032.682278124999</v>
      </c>
      <c r="E27" s="55">
        <f t="shared" ref="E27:H27" si="18">SUBTOTAL(9,E25:E26)</f>
        <v>0</v>
      </c>
      <c r="F27" s="55">
        <f t="shared" si="18"/>
        <v>4037.3209999999999</v>
      </c>
      <c r="G27" s="55">
        <f t="shared" si="18"/>
        <v>4189.8366249999999</v>
      </c>
      <c r="H27" s="55">
        <f t="shared" si="18"/>
        <v>2805.5246531249995</v>
      </c>
    </row>
    <row r="28" spans="1:12" ht="6.75" customHeight="1" x14ac:dyDescent="0.25">
      <c r="D28" s="36"/>
      <c r="E28" s="36"/>
      <c r="F28" s="36"/>
      <c r="G28" s="29"/>
      <c r="H28" s="29"/>
    </row>
    <row r="29" spans="1:12" x14ac:dyDescent="0.25">
      <c r="A29" s="16"/>
      <c r="B29" s="16" t="s">
        <v>74</v>
      </c>
      <c r="C29" s="16"/>
      <c r="D29" s="34"/>
      <c r="E29" s="34"/>
      <c r="F29" s="34"/>
      <c r="G29" s="35"/>
      <c r="H29" s="35"/>
      <c r="I29" s="12"/>
      <c r="J29" s="12"/>
      <c r="K29" s="12"/>
      <c r="L29" s="12"/>
    </row>
    <row r="30" spans="1:12" x14ac:dyDescent="0.25">
      <c r="B30" s="17" t="s">
        <v>24</v>
      </c>
      <c r="D30" s="52">
        <f>SUM(E30:H30)</f>
        <v>872.70385689</v>
      </c>
      <c r="E30" s="52">
        <f>E138</f>
        <v>240</v>
      </c>
      <c r="F30" s="52">
        <f t="shared" ref="F30:H30" si="19">F138</f>
        <v>0</v>
      </c>
      <c r="G30" s="52">
        <f t="shared" si="19"/>
        <v>326.35469999999998</v>
      </c>
      <c r="H30" s="52">
        <f t="shared" si="19"/>
        <v>306.34915688999996</v>
      </c>
    </row>
    <row r="31" spans="1:12" x14ac:dyDescent="0.25">
      <c r="B31" s="17" t="s">
        <v>25</v>
      </c>
      <c r="D31" s="52">
        <f t="shared" ref="D31:D32" si="20">SUM(E31:H31)</f>
        <v>0</v>
      </c>
      <c r="E31" s="52">
        <f>E174</f>
        <v>0</v>
      </c>
      <c r="F31" s="52">
        <f>F174</f>
        <v>0</v>
      </c>
      <c r="G31" s="52">
        <f>G174</f>
        <v>0</v>
      </c>
      <c r="H31" s="52">
        <f>H174</f>
        <v>0</v>
      </c>
    </row>
    <row r="32" spans="1:12" x14ac:dyDescent="0.25">
      <c r="B32" s="17" t="s">
        <v>432</v>
      </c>
      <c r="D32" s="52">
        <f t="shared" si="20"/>
        <v>0</v>
      </c>
      <c r="E32" s="52"/>
      <c r="F32" s="52"/>
      <c r="G32" s="44"/>
      <c r="H32" s="44"/>
    </row>
    <row r="33" spans="1:12" ht="14.25" thickBot="1" x14ac:dyDescent="0.3">
      <c r="A33" s="13"/>
      <c r="B33" s="13" t="s">
        <v>75</v>
      </c>
      <c r="C33" s="13"/>
      <c r="D33" s="55">
        <f>SUBTOTAL(9,D30:D32)</f>
        <v>872.70385689</v>
      </c>
      <c r="E33" s="55">
        <f t="shared" ref="E33:H33" si="21">SUBTOTAL(9,E30:E32)</f>
        <v>240</v>
      </c>
      <c r="F33" s="55">
        <f t="shared" si="21"/>
        <v>0</v>
      </c>
      <c r="G33" s="55">
        <f t="shared" si="21"/>
        <v>326.35469999999998</v>
      </c>
      <c r="H33" s="55">
        <f t="shared" si="21"/>
        <v>306.34915688999996</v>
      </c>
    </row>
    <row r="34" spans="1:12" ht="7.5" customHeight="1" x14ac:dyDescent="0.25">
      <c r="D34" s="36"/>
      <c r="E34" s="36"/>
      <c r="F34" s="36"/>
      <c r="G34" s="29"/>
      <c r="H34" s="29"/>
    </row>
    <row r="35" spans="1:12" x14ac:dyDescent="0.25">
      <c r="A35" s="16"/>
      <c r="B35" s="16" t="s">
        <v>7</v>
      </c>
      <c r="C35" s="16"/>
      <c r="D35" s="34"/>
      <c r="E35" s="34"/>
      <c r="F35" s="34"/>
      <c r="G35" s="35"/>
      <c r="H35" s="35"/>
      <c r="I35" s="12"/>
      <c r="J35" s="12"/>
      <c r="K35" s="12"/>
      <c r="L35" s="12"/>
    </row>
    <row r="36" spans="1:12" x14ac:dyDescent="0.25">
      <c r="B36" s="17" t="s">
        <v>58</v>
      </c>
      <c r="D36" s="52">
        <f t="shared" ref="D36:D40" si="22">SUM(E36:H36)</f>
        <v>1643548.3636363628</v>
      </c>
      <c r="E36" s="52">
        <f>E143</f>
        <v>0</v>
      </c>
      <c r="F36" s="52">
        <f t="shared" ref="F36:H36" si="23">F143</f>
        <v>0</v>
      </c>
      <c r="G36" s="52">
        <f t="shared" si="23"/>
        <v>1150483.854545454</v>
      </c>
      <c r="H36" s="52">
        <f t="shared" si="23"/>
        <v>493064.50909090892</v>
      </c>
    </row>
    <row r="37" spans="1:12" x14ac:dyDescent="0.25">
      <c r="B37" s="17" t="s">
        <v>26</v>
      </c>
      <c r="D37" s="52">
        <f t="shared" si="22"/>
        <v>216000</v>
      </c>
      <c r="E37" s="52">
        <f>E149</f>
        <v>174000</v>
      </c>
      <c r="F37" s="52">
        <f t="shared" ref="F37:H37" si="24">F149</f>
        <v>22000</v>
      </c>
      <c r="G37" s="52">
        <f t="shared" si="24"/>
        <v>10000</v>
      </c>
      <c r="H37" s="52">
        <f t="shared" si="24"/>
        <v>10000</v>
      </c>
    </row>
    <row r="38" spans="1:12" x14ac:dyDescent="0.25">
      <c r="B38" s="17" t="s">
        <v>8</v>
      </c>
      <c r="D38" s="52">
        <f t="shared" si="22"/>
        <v>25500</v>
      </c>
      <c r="E38" s="52">
        <f>E162</f>
        <v>14500</v>
      </c>
      <c r="F38" s="52">
        <f t="shared" ref="F38:H38" si="25">F162</f>
        <v>11000</v>
      </c>
      <c r="G38" s="52">
        <f t="shared" si="25"/>
        <v>0</v>
      </c>
      <c r="H38" s="52">
        <f t="shared" si="25"/>
        <v>0</v>
      </c>
    </row>
    <row r="39" spans="1:12" x14ac:dyDescent="0.25">
      <c r="B39" s="17" t="s">
        <v>318</v>
      </c>
      <c r="D39" s="52">
        <f t="shared" si="22"/>
        <v>21000</v>
      </c>
      <c r="E39" s="52">
        <f>E166</f>
        <v>21000</v>
      </c>
      <c r="F39" s="52">
        <f t="shared" ref="F39:H39" si="26">F166</f>
        <v>0</v>
      </c>
      <c r="G39" s="52">
        <f t="shared" si="26"/>
        <v>0</v>
      </c>
      <c r="H39" s="52">
        <f t="shared" si="26"/>
        <v>0</v>
      </c>
    </row>
    <row r="40" spans="1:12" x14ac:dyDescent="0.25">
      <c r="B40" s="17" t="s">
        <v>9</v>
      </c>
      <c r="D40" s="52">
        <f t="shared" si="22"/>
        <v>0</v>
      </c>
      <c r="E40" s="52"/>
      <c r="F40" s="52"/>
      <c r="G40" s="44"/>
      <c r="H40" s="44"/>
    </row>
    <row r="41" spans="1:12" ht="14.25" thickBot="1" x14ac:dyDescent="0.3">
      <c r="A41" s="13"/>
      <c r="B41" s="13" t="s">
        <v>69</v>
      </c>
      <c r="C41" s="13"/>
      <c r="D41" s="55">
        <f>SUBTOTAL(9,D36:D40)</f>
        <v>1906048.3636363628</v>
      </c>
      <c r="E41" s="55">
        <f>SUBTOTAL(9,E36:E40)</f>
        <v>209500</v>
      </c>
      <c r="F41" s="55">
        <f>SUBTOTAL(9,F36:F40)</f>
        <v>33000</v>
      </c>
      <c r="G41" s="55">
        <f t="shared" ref="G41:H41" si="27">SUBTOTAL(9,G36:G40)</f>
        <v>1160483.854545454</v>
      </c>
      <c r="H41" s="55">
        <f t="shared" si="27"/>
        <v>503064.50909090892</v>
      </c>
    </row>
    <row r="42" spans="1:12" ht="6" customHeight="1" x14ac:dyDescent="0.25">
      <c r="D42" s="36"/>
      <c r="E42" s="36"/>
      <c r="F42" s="36"/>
      <c r="G42" s="29"/>
      <c r="H42" s="29"/>
    </row>
    <row r="43" spans="1:12" x14ac:dyDescent="0.25">
      <c r="A43" s="16"/>
      <c r="B43" s="16" t="s">
        <v>16</v>
      </c>
      <c r="C43" s="16"/>
      <c r="D43" s="34"/>
      <c r="E43" s="34"/>
      <c r="F43" s="34"/>
      <c r="G43" s="35"/>
      <c r="H43" s="35"/>
      <c r="I43" s="12"/>
      <c r="J43" s="12"/>
      <c r="K43" s="12"/>
      <c r="L43" s="12"/>
    </row>
    <row r="44" spans="1:12" x14ac:dyDescent="0.25">
      <c r="A44" s="2"/>
      <c r="B44" s="2" t="s">
        <v>244</v>
      </c>
      <c r="C44" s="2"/>
      <c r="D44" s="52">
        <f t="shared" ref="D44:D48" si="28">SUM(E44:H44)</f>
        <v>124723.19999999998</v>
      </c>
      <c r="E44" s="52">
        <f>E183</f>
        <v>12472.32</v>
      </c>
      <c r="F44" s="52">
        <f t="shared" ref="F44:H44" si="29">F183</f>
        <v>37416.959999999999</v>
      </c>
      <c r="G44" s="52">
        <f t="shared" si="29"/>
        <v>37416.959999999999</v>
      </c>
      <c r="H44" s="52">
        <f t="shared" si="29"/>
        <v>37416.959999999999</v>
      </c>
    </row>
    <row r="45" spans="1:12" x14ac:dyDescent="0.25">
      <c r="A45" s="2"/>
      <c r="B45" s="2" t="s">
        <v>18</v>
      </c>
      <c r="C45" s="2"/>
      <c r="D45" s="52">
        <f t="shared" si="28"/>
        <v>29231.999999999996</v>
      </c>
      <c r="E45" s="52">
        <f>E184</f>
        <v>2923.2</v>
      </c>
      <c r="F45" s="52">
        <f t="shared" ref="F45:H45" si="30">F184</f>
        <v>8769.5999999999985</v>
      </c>
      <c r="G45" s="52">
        <f t="shared" si="30"/>
        <v>8769.5999999999985</v>
      </c>
      <c r="H45" s="52">
        <f t="shared" si="30"/>
        <v>8769.5999999999985</v>
      </c>
    </row>
    <row r="46" spans="1:12" x14ac:dyDescent="0.25">
      <c r="A46" s="2"/>
      <c r="B46" s="2" t="s">
        <v>19</v>
      </c>
      <c r="C46" s="2"/>
      <c r="D46" s="52">
        <f t="shared" si="28"/>
        <v>24360</v>
      </c>
      <c r="E46" s="52">
        <f>E185</f>
        <v>2436</v>
      </c>
      <c r="F46" s="52">
        <f t="shared" ref="F46:H46" si="31">F185</f>
        <v>7308</v>
      </c>
      <c r="G46" s="52">
        <f t="shared" si="31"/>
        <v>7308</v>
      </c>
      <c r="H46" s="52">
        <f t="shared" si="31"/>
        <v>7308</v>
      </c>
    </row>
    <row r="47" spans="1:12" x14ac:dyDescent="0.25">
      <c r="A47" s="2"/>
      <c r="B47" s="2" t="s">
        <v>22</v>
      </c>
      <c r="C47" s="2"/>
      <c r="D47" s="52">
        <f t="shared" si="28"/>
        <v>19488.000000000004</v>
      </c>
      <c r="E47" s="52">
        <f>E186</f>
        <v>1948.8000000000002</v>
      </c>
      <c r="F47" s="52">
        <f t="shared" ref="F47:H47" si="32">F186</f>
        <v>5846.4000000000005</v>
      </c>
      <c r="G47" s="52">
        <f t="shared" si="32"/>
        <v>5846.4000000000005</v>
      </c>
      <c r="H47" s="52">
        <f t="shared" si="32"/>
        <v>5846.4000000000005</v>
      </c>
    </row>
    <row r="48" spans="1:12" x14ac:dyDescent="0.25">
      <c r="A48" s="3"/>
      <c r="B48" s="3" t="s">
        <v>13</v>
      </c>
      <c r="C48" s="3"/>
      <c r="D48" s="52">
        <f t="shared" si="28"/>
        <v>20000</v>
      </c>
      <c r="E48" s="52">
        <f>E188</f>
        <v>2000</v>
      </c>
      <c r="F48" s="52">
        <f t="shared" ref="F48:H48" si="33">F188</f>
        <v>6000</v>
      </c>
      <c r="G48" s="52">
        <f t="shared" si="33"/>
        <v>6000</v>
      </c>
      <c r="H48" s="52">
        <f t="shared" si="33"/>
        <v>6000</v>
      </c>
    </row>
    <row r="49" spans="1:12" ht="14.25" thickBot="1" x14ac:dyDescent="0.3">
      <c r="A49" s="13"/>
      <c r="B49" s="13" t="s">
        <v>70</v>
      </c>
      <c r="C49" s="13"/>
      <c r="D49" s="55">
        <f>SUBTOTAL(9,D44:D48)</f>
        <v>217803.19999999998</v>
      </c>
      <c r="E49" s="55">
        <f>SUBTOTAL(9,E44:E48)</f>
        <v>21780.32</v>
      </c>
      <c r="F49" s="55">
        <f>SUBTOTAL(9,F44:F48)</f>
        <v>65340.959999999999</v>
      </c>
      <c r="G49" s="55">
        <f>SUBTOTAL(9,G44:G48)</f>
        <v>65340.959999999999</v>
      </c>
      <c r="H49" s="55">
        <f>SUBTOTAL(9,H44:H48)</f>
        <v>65340.959999999999</v>
      </c>
    </row>
    <row r="50" spans="1:12" ht="6.75" customHeight="1" x14ac:dyDescent="0.25">
      <c r="A50" s="3"/>
      <c r="B50" s="6"/>
      <c r="C50" s="3"/>
      <c r="D50" s="36"/>
      <c r="E50" s="36"/>
      <c r="F50" s="36"/>
      <c r="G50" s="29"/>
      <c r="H50" s="29"/>
    </row>
    <row r="51" spans="1:12" x14ac:dyDescent="0.25">
      <c r="A51" s="16"/>
      <c r="B51" s="16" t="s">
        <v>20</v>
      </c>
      <c r="C51" s="16"/>
      <c r="D51" s="34"/>
      <c r="E51" s="34"/>
      <c r="F51" s="34"/>
      <c r="G51" s="35"/>
      <c r="H51" s="35"/>
      <c r="I51" s="12"/>
      <c r="J51" s="12"/>
      <c r="K51" s="12"/>
      <c r="L51" s="12"/>
    </row>
    <row r="52" spans="1:12" x14ac:dyDescent="0.25">
      <c r="A52" s="3"/>
      <c r="B52" s="3" t="s">
        <v>218</v>
      </c>
      <c r="C52" s="3"/>
      <c r="D52" s="36">
        <f t="shared" ref="D52:D53" si="34">SUM(E52:H52)</f>
        <v>0</v>
      </c>
      <c r="E52" s="36">
        <f>E202</f>
        <v>0</v>
      </c>
      <c r="F52" s="36">
        <f t="shared" ref="F52:H52" si="35">F202</f>
        <v>0</v>
      </c>
      <c r="G52" s="36">
        <f t="shared" si="35"/>
        <v>0</v>
      </c>
      <c r="H52" s="36">
        <f t="shared" si="35"/>
        <v>0</v>
      </c>
    </row>
    <row r="53" spans="1:12" x14ac:dyDescent="0.25">
      <c r="A53" s="3"/>
      <c r="B53" s="3" t="s">
        <v>21</v>
      </c>
      <c r="C53" s="3"/>
      <c r="D53" s="52">
        <f t="shared" si="34"/>
        <v>9000</v>
      </c>
      <c r="E53" s="52">
        <f>E192</f>
        <v>1200</v>
      </c>
      <c r="F53" s="52">
        <f t="shared" ref="F53:H53" si="36">F192</f>
        <v>2600</v>
      </c>
      <c r="G53" s="52">
        <f t="shared" si="36"/>
        <v>2600</v>
      </c>
      <c r="H53" s="52">
        <f t="shared" si="36"/>
        <v>2600</v>
      </c>
    </row>
    <row r="54" spans="1:12" ht="14.25" thickBot="1" x14ac:dyDescent="0.3">
      <c r="A54" s="13"/>
      <c r="B54" s="13" t="s">
        <v>71</v>
      </c>
      <c r="C54" s="13"/>
      <c r="D54" s="55">
        <f>SUBTOTAL(9,D52:D53)</f>
        <v>9000</v>
      </c>
      <c r="E54" s="55">
        <f>SUBTOTAL(9,E52:E53)</f>
        <v>1200</v>
      </c>
      <c r="F54" s="55">
        <f>SUBTOTAL(9,F52:F53)</f>
        <v>2600</v>
      </c>
      <c r="G54" s="55">
        <f>SUBTOTAL(9,G52:G53)</f>
        <v>2600</v>
      </c>
      <c r="H54" s="55">
        <f>SUBTOTAL(9,H52:H53)</f>
        <v>2600</v>
      </c>
    </row>
    <row r="55" spans="1:12" ht="8.25" customHeight="1" x14ac:dyDescent="0.25">
      <c r="A55" s="1"/>
      <c r="B55" s="1"/>
      <c r="C55" s="1"/>
      <c r="D55" s="52"/>
      <c r="E55" s="52"/>
      <c r="F55" s="52"/>
      <c r="G55" s="44"/>
      <c r="H55" s="44"/>
    </row>
    <row r="56" spans="1:12" ht="14.25" thickBot="1" x14ac:dyDescent="0.3">
      <c r="A56" s="56"/>
      <c r="B56" s="56" t="s">
        <v>160</v>
      </c>
      <c r="C56" s="56"/>
      <c r="D56" s="57">
        <f>SUBTOTAL(9,D6:D54)</f>
        <v>3294181.460608732</v>
      </c>
      <c r="E56" s="57">
        <f>SUBTOTAL(9,E6:E54)</f>
        <v>304443.34263855004</v>
      </c>
      <c r="F56" s="57">
        <f>SUBTOTAL(9,F6:F54)</f>
        <v>414129.13680021669</v>
      </c>
      <c r="G56" s="57">
        <f>SUBTOTAL(9,G6:G54)</f>
        <v>1598160.8613760814</v>
      </c>
      <c r="H56" s="57">
        <f>SUBTOTAL(9,H6:H54)</f>
        <v>977448.11979388387</v>
      </c>
    </row>
    <row r="57" spans="1:12" ht="14.25" thickBot="1" x14ac:dyDescent="0.3">
      <c r="A57" s="1"/>
      <c r="B57" s="1"/>
      <c r="C57" s="1"/>
      <c r="D57" s="36"/>
      <c r="E57" s="36"/>
      <c r="F57" s="36"/>
      <c r="G57" s="29"/>
      <c r="H57" s="29"/>
    </row>
    <row r="58" spans="1:12" ht="18" thickTop="1" x14ac:dyDescent="0.3">
      <c r="A58" s="224"/>
      <c r="B58" s="225" t="s">
        <v>27</v>
      </c>
      <c r="C58" s="225"/>
      <c r="D58" s="226"/>
      <c r="E58" s="226"/>
      <c r="F58" s="226"/>
      <c r="G58" s="226"/>
      <c r="H58" s="226"/>
    </row>
    <row r="59" spans="1:12" ht="6.75" customHeight="1" x14ac:dyDescent="0.25">
      <c r="A59" s="1"/>
      <c r="B59" s="1"/>
      <c r="C59" s="1"/>
      <c r="D59" s="36"/>
      <c r="E59" s="36"/>
      <c r="F59" s="36"/>
      <c r="G59" s="29"/>
      <c r="H59" s="29"/>
    </row>
    <row r="60" spans="1:12" x14ac:dyDescent="0.25">
      <c r="A60" s="120"/>
      <c r="B60" s="120" t="s">
        <v>67</v>
      </c>
      <c r="C60" s="120" t="s">
        <v>66</v>
      </c>
      <c r="D60" s="121"/>
      <c r="E60" s="122">
        <f>start</f>
        <v>43466</v>
      </c>
      <c r="F60" s="122">
        <f>EOMONTH(E60,11)+1</f>
        <v>43831</v>
      </c>
      <c r="G60" s="122">
        <f>EOMONTH(F60,11)+1</f>
        <v>44197</v>
      </c>
      <c r="H60" s="122">
        <f>EOMONTH(G60,11)+1</f>
        <v>44562</v>
      </c>
    </row>
    <row r="61" spans="1:12" ht="6.75" customHeight="1" x14ac:dyDescent="0.25">
      <c r="D61" s="36"/>
      <c r="E61" s="36"/>
      <c r="F61" s="36"/>
      <c r="G61" s="29"/>
      <c r="H61" s="29"/>
    </row>
    <row r="62" spans="1:12" x14ac:dyDescent="0.25">
      <c r="A62" s="58"/>
      <c r="B62" s="58" t="s">
        <v>232</v>
      </c>
      <c r="C62" s="58"/>
      <c r="D62" s="59"/>
      <c r="E62" s="59"/>
      <c r="F62" s="59"/>
      <c r="G62" s="59"/>
      <c r="H62" s="59"/>
    </row>
    <row r="63" spans="1:12" hidden="1" x14ac:dyDescent="0.25">
      <c r="B63" s="5" t="s">
        <v>2</v>
      </c>
      <c r="D63" s="36"/>
      <c r="E63" s="36">
        <f>E64*E65*E66*E67</f>
        <v>0</v>
      </c>
      <c r="F63" s="36">
        <f t="shared" ref="F63:H63" si="37">F64*F65*F66*F67</f>
        <v>0</v>
      </c>
      <c r="G63" s="36">
        <f t="shared" si="37"/>
        <v>0</v>
      </c>
      <c r="H63" s="36">
        <f t="shared" si="37"/>
        <v>0</v>
      </c>
    </row>
    <row r="64" spans="1:12" hidden="1" x14ac:dyDescent="0.25">
      <c r="A64" s="9"/>
      <c r="B64" s="9" t="s">
        <v>37</v>
      </c>
      <c r="C64" s="9"/>
      <c r="D64" s="36"/>
      <c r="E64" s="36">
        <v>0</v>
      </c>
      <c r="F64" s="36">
        <v>0</v>
      </c>
      <c r="G64" s="36">
        <v>0</v>
      </c>
      <c r="H64" s="36">
        <v>0</v>
      </c>
    </row>
    <row r="65" spans="1:12" hidden="1" x14ac:dyDescent="0.25">
      <c r="A65" s="9"/>
      <c r="B65" s="9" t="s">
        <v>38</v>
      </c>
      <c r="C65" s="9"/>
      <c r="D65" s="37"/>
      <c r="E65" s="37">
        <v>0</v>
      </c>
      <c r="F65" s="77">
        <f>3/22</f>
        <v>0.13636363636363635</v>
      </c>
      <c r="G65" s="77">
        <f t="shared" ref="G65:H65" si="38">3/22</f>
        <v>0.13636363636363635</v>
      </c>
      <c r="H65" s="77">
        <f t="shared" si="38"/>
        <v>0.13636363636363635</v>
      </c>
    </row>
    <row r="66" spans="1:12" hidden="1" x14ac:dyDescent="0.25">
      <c r="A66" s="9"/>
      <c r="B66" s="9" t="s">
        <v>39</v>
      </c>
      <c r="C66" s="9"/>
      <c r="D66" s="36"/>
      <c r="E66" s="36">
        <f>'Rates and GI'!D11</f>
        <v>0</v>
      </c>
      <c r="F66" s="36">
        <f>E66*(1+index)</f>
        <v>0</v>
      </c>
      <c r="G66" s="36">
        <f>F66*(1+index)</f>
        <v>0</v>
      </c>
      <c r="H66" s="36">
        <f>G66*(1+index)</f>
        <v>0</v>
      </c>
    </row>
    <row r="67" spans="1:12" hidden="1" x14ac:dyDescent="0.25">
      <c r="A67" s="9"/>
      <c r="B67" s="9" t="s">
        <v>40</v>
      </c>
      <c r="C67" s="9"/>
      <c r="D67" s="36"/>
      <c r="E67" s="39">
        <v>0</v>
      </c>
      <c r="F67" s="36">
        <v>4</v>
      </c>
      <c r="G67" s="29">
        <v>12</v>
      </c>
      <c r="H67" s="29">
        <v>12</v>
      </c>
    </row>
    <row r="68" spans="1:12" hidden="1" x14ac:dyDescent="0.25">
      <c r="A68" s="9"/>
      <c r="B68" s="9"/>
      <c r="C68" s="9"/>
      <c r="D68" s="36"/>
      <c r="E68" s="36"/>
      <c r="F68" s="36"/>
      <c r="G68" s="29"/>
      <c r="H68" s="29"/>
    </row>
    <row r="69" spans="1:12" x14ac:dyDescent="0.25">
      <c r="B69" s="5" t="s">
        <v>23</v>
      </c>
      <c r="D69" s="36"/>
      <c r="E69" s="52">
        <f>E70*E71</f>
        <v>742.35</v>
      </c>
      <c r="F69" s="52">
        <f t="shared" ref="F69:H69" si="39">F70*F71</f>
        <v>0</v>
      </c>
      <c r="G69" s="52">
        <f t="shared" si="39"/>
        <v>0</v>
      </c>
      <c r="H69" s="52">
        <f t="shared" si="39"/>
        <v>0</v>
      </c>
      <c r="I69" s="70"/>
    </row>
    <row r="70" spans="1:12" x14ac:dyDescent="0.25">
      <c r="A70" s="9"/>
      <c r="B70" s="9" t="s">
        <v>129</v>
      </c>
      <c r="C70" s="9" t="s">
        <v>128</v>
      </c>
      <c r="D70" s="36"/>
      <c r="E70" s="52">
        <v>42</v>
      </c>
      <c r="F70" s="52">
        <v>0</v>
      </c>
      <c r="G70" s="52">
        <v>0</v>
      </c>
      <c r="H70" s="52">
        <v>0</v>
      </c>
      <c r="I70" s="70"/>
    </row>
    <row r="71" spans="1:12" x14ac:dyDescent="0.25">
      <c r="A71" s="9"/>
      <c r="B71" s="9" t="s">
        <v>41</v>
      </c>
      <c r="C71" s="9"/>
      <c r="D71" s="36"/>
      <c r="E71" s="52">
        <f>'Rates and GI'!D12</f>
        <v>17.675000000000001</v>
      </c>
      <c r="F71" s="52">
        <f>E71*(1+index)</f>
        <v>18.435025</v>
      </c>
      <c r="G71" s="52">
        <f>F71*(1+index)</f>
        <v>19.227731074999998</v>
      </c>
      <c r="H71" s="52">
        <f>G71*(1+index)</f>
        <v>20.054523511224996</v>
      </c>
      <c r="I71" s="70"/>
    </row>
    <row r="72" spans="1:12" x14ac:dyDescent="0.25">
      <c r="D72" s="36"/>
      <c r="E72" s="36"/>
      <c r="F72" s="36"/>
      <c r="G72" s="29"/>
      <c r="H72" s="29"/>
      <c r="I72" s="70"/>
    </row>
    <row r="73" spans="1:12" s="7" customFormat="1" x14ac:dyDescent="0.25">
      <c r="A73" s="5"/>
      <c r="B73" s="5" t="s">
        <v>191</v>
      </c>
      <c r="C73" s="5"/>
      <c r="D73" s="36"/>
      <c r="E73" s="52">
        <f>E74*E75</f>
        <v>3433.1220000000008</v>
      </c>
      <c r="F73" s="52">
        <f t="shared" ref="F73:H73" si="40">F74*F75</f>
        <v>0</v>
      </c>
      <c r="G73" s="52">
        <f t="shared" si="40"/>
        <v>3734.7183345779999</v>
      </c>
      <c r="H73" s="52">
        <f t="shared" si="40"/>
        <v>3895.3112229648536</v>
      </c>
      <c r="I73" s="70"/>
      <c r="J73" s="6"/>
      <c r="K73" s="6"/>
      <c r="L73" s="6"/>
    </row>
    <row r="74" spans="1:12" s="7" customFormat="1" x14ac:dyDescent="0.25">
      <c r="A74" s="9"/>
      <c r="B74" s="9" t="s">
        <v>193</v>
      </c>
      <c r="C74" s="9" t="s">
        <v>128</v>
      </c>
      <c r="D74" s="36"/>
      <c r="E74" s="52">
        <v>21</v>
      </c>
      <c r="F74" s="52">
        <v>0</v>
      </c>
      <c r="G74" s="52">
        <v>21</v>
      </c>
      <c r="H74" s="52">
        <v>21</v>
      </c>
      <c r="I74" s="70"/>
      <c r="J74" s="6"/>
      <c r="K74" s="6"/>
      <c r="L74" s="6"/>
    </row>
    <row r="75" spans="1:12" s="7" customFormat="1" x14ac:dyDescent="0.25">
      <c r="A75" s="9"/>
      <c r="B75" s="9" t="s">
        <v>41</v>
      </c>
      <c r="C75" s="9"/>
      <c r="D75" s="36"/>
      <c r="E75" s="52">
        <f>'Rates and GI'!D13</f>
        <v>163.48200000000003</v>
      </c>
      <c r="F75" s="52">
        <f>E75*(1+index)</f>
        <v>170.51172600000001</v>
      </c>
      <c r="G75" s="52">
        <f>F75*(1+index)</f>
        <v>177.84373021799999</v>
      </c>
      <c r="H75" s="52">
        <f>G75*(1+index)</f>
        <v>185.49101061737397</v>
      </c>
      <c r="I75" s="70"/>
      <c r="J75" s="6"/>
      <c r="K75" s="6"/>
      <c r="L75" s="6"/>
    </row>
    <row r="76" spans="1:12" x14ac:dyDescent="0.25">
      <c r="D76" s="36"/>
      <c r="E76" s="36"/>
      <c r="F76" s="36"/>
      <c r="G76" s="29"/>
      <c r="H76" s="29"/>
    </row>
    <row r="77" spans="1:12" x14ac:dyDescent="0.25">
      <c r="A77" s="58"/>
      <c r="B77" s="58" t="s">
        <v>233</v>
      </c>
      <c r="C77" s="58"/>
      <c r="D77" s="59"/>
      <c r="E77" s="60">
        <f>E81+E89+E107</f>
        <v>57372.04</v>
      </c>
      <c r="F77" s="60">
        <f t="shared" ref="F77:H77" si="41">F81+F89+F107</f>
        <v>261348</v>
      </c>
      <c r="G77" s="60">
        <f t="shared" si="41"/>
        <v>308220</v>
      </c>
      <c r="H77" s="60">
        <f t="shared" si="41"/>
        <v>342690</v>
      </c>
    </row>
    <row r="78" spans="1:12" x14ac:dyDescent="0.25">
      <c r="D78" s="36"/>
      <c r="E78" s="36"/>
      <c r="F78" s="36"/>
      <c r="G78" s="36"/>
      <c r="H78" s="36"/>
    </row>
    <row r="79" spans="1:12" s="7" customFormat="1" x14ac:dyDescent="0.25">
      <c r="A79" s="5"/>
      <c r="B79" s="5" t="s">
        <v>132</v>
      </c>
      <c r="C79" s="5"/>
      <c r="D79" s="36"/>
      <c r="E79" s="52">
        <v>66.14</v>
      </c>
      <c r="F79" s="52">
        <v>70</v>
      </c>
      <c r="G79" s="52">
        <v>70</v>
      </c>
      <c r="H79" s="44">
        <v>75</v>
      </c>
      <c r="I79" s="6"/>
      <c r="J79" s="6"/>
      <c r="K79" s="6"/>
      <c r="L79" s="6"/>
    </row>
    <row r="80" spans="1:12" s="7" customFormat="1" x14ac:dyDescent="0.25">
      <c r="A80" s="5"/>
      <c r="B80" s="5"/>
      <c r="C80" s="5"/>
      <c r="D80" s="36"/>
      <c r="E80" s="36"/>
      <c r="F80" s="36"/>
      <c r="G80" s="36"/>
      <c r="H80" s="29"/>
      <c r="I80" s="6"/>
      <c r="J80" s="6"/>
      <c r="K80" s="6"/>
      <c r="L80" s="6"/>
    </row>
    <row r="81" spans="1:12" s="7" customFormat="1" x14ac:dyDescent="0.25">
      <c r="A81" s="5"/>
      <c r="B81" s="5" t="s">
        <v>225</v>
      </c>
      <c r="C81" s="5"/>
      <c r="D81" s="36"/>
      <c r="E81" s="52">
        <f>(E82+E85*E86)*E117</f>
        <v>16402.72</v>
      </c>
      <c r="F81" s="52">
        <f t="shared" ref="F81:H81" si="42">(F82+F85*F86)*F117</f>
        <v>52080</v>
      </c>
      <c r="G81" s="52">
        <f t="shared" si="42"/>
        <v>52080</v>
      </c>
      <c r="H81" s="52">
        <f t="shared" si="42"/>
        <v>55800</v>
      </c>
      <c r="I81" s="6"/>
      <c r="J81" s="6"/>
      <c r="K81" s="6"/>
      <c r="L81" s="6"/>
    </row>
    <row r="82" spans="1:12" s="7" customFormat="1" x14ac:dyDescent="0.25">
      <c r="A82" s="5"/>
      <c r="B82" s="9" t="s">
        <v>224</v>
      </c>
      <c r="C82" s="5"/>
      <c r="D82" s="36"/>
      <c r="E82" s="52">
        <f>E79*E83</f>
        <v>793.68000000000006</v>
      </c>
      <c r="F82" s="52">
        <f>F79*F83</f>
        <v>840</v>
      </c>
      <c r="G82" s="52">
        <f>G79*G83</f>
        <v>840</v>
      </c>
      <c r="H82" s="52">
        <f>H79*H83</f>
        <v>900</v>
      </c>
      <c r="I82" s="6"/>
      <c r="J82" s="6"/>
      <c r="K82" s="6"/>
      <c r="L82" s="6"/>
    </row>
    <row r="83" spans="1:12" s="7" customFormat="1" x14ac:dyDescent="0.25">
      <c r="A83" s="5"/>
      <c r="B83" s="79" t="s">
        <v>228</v>
      </c>
      <c r="C83" s="5"/>
      <c r="D83" s="36"/>
      <c r="E83" s="52">
        <v>12</v>
      </c>
      <c r="F83" s="52">
        <v>12</v>
      </c>
      <c r="G83" s="52">
        <v>12</v>
      </c>
      <c r="H83" s="52">
        <v>12</v>
      </c>
      <c r="I83" s="6"/>
      <c r="J83" s="6"/>
      <c r="K83" s="6"/>
      <c r="L83" s="6"/>
    </row>
    <row r="84" spans="1:12" s="7" customFormat="1" x14ac:dyDescent="0.25">
      <c r="A84" s="5"/>
      <c r="B84" s="79"/>
      <c r="C84" s="5"/>
      <c r="D84" s="36"/>
      <c r="E84" s="52"/>
      <c r="F84" s="52"/>
      <c r="G84" s="52"/>
      <c r="H84" s="52"/>
      <c r="I84" s="6"/>
      <c r="J84" s="6"/>
      <c r="K84" s="6"/>
      <c r="L84" s="6"/>
    </row>
    <row r="85" spans="1:12" s="7" customFormat="1" x14ac:dyDescent="0.25">
      <c r="A85" s="5"/>
      <c r="B85" s="9" t="s">
        <v>226</v>
      </c>
      <c r="C85" s="5"/>
      <c r="D85" s="36"/>
      <c r="E85" s="52">
        <v>5</v>
      </c>
      <c r="F85" s="52">
        <v>5</v>
      </c>
      <c r="G85" s="52">
        <v>5</v>
      </c>
      <c r="H85" s="52">
        <v>5</v>
      </c>
      <c r="I85" s="6"/>
      <c r="J85" s="6"/>
      <c r="K85" s="6"/>
      <c r="L85" s="6"/>
    </row>
    <row r="86" spans="1:12" s="7" customFormat="1" x14ac:dyDescent="0.25">
      <c r="A86" s="5"/>
      <c r="B86" s="9" t="s">
        <v>227</v>
      </c>
      <c r="C86" s="5"/>
      <c r="D86" s="36"/>
      <c r="E86" s="52">
        <f>E87*E79</f>
        <v>661.4</v>
      </c>
      <c r="F86" s="52">
        <f>F87*F79</f>
        <v>700</v>
      </c>
      <c r="G86" s="52">
        <f>G87*G79</f>
        <v>700</v>
      </c>
      <c r="H86" s="52">
        <f>H87*H79</f>
        <v>750</v>
      </c>
      <c r="I86" s="6"/>
      <c r="J86" s="6"/>
      <c r="K86" s="6"/>
      <c r="L86" s="6"/>
    </row>
    <row r="87" spans="1:12" s="7" customFormat="1" x14ac:dyDescent="0.25">
      <c r="A87" s="5"/>
      <c r="B87" s="79" t="s">
        <v>228</v>
      </c>
      <c r="C87" s="5"/>
      <c r="D87" s="36"/>
      <c r="E87" s="52">
        <v>10</v>
      </c>
      <c r="F87" s="52">
        <v>10</v>
      </c>
      <c r="G87" s="52">
        <v>10</v>
      </c>
      <c r="H87" s="52">
        <v>10</v>
      </c>
      <c r="I87" s="6"/>
      <c r="J87" s="6"/>
      <c r="K87" s="6"/>
      <c r="L87" s="6"/>
    </row>
    <row r="88" spans="1:12" s="7" customFormat="1" x14ac:dyDescent="0.25">
      <c r="A88" s="5"/>
      <c r="B88" s="79"/>
      <c r="C88" s="5"/>
      <c r="D88" s="36"/>
      <c r="E88" s="52"/>
      <c r="F88" s="52"/>
      <c r="G88" s="52"/>
      <c r="H88" s="52"/>
      <c r="I88" s="6"/>
      <c r="J88" s="6"/>
      <c r="K88" s="6"/>
      <c r="L88" s="6"/>
    </row>
    <row r="89" spans="1:12" s="7" customFormat="1" x14ac:dyDescent="0.25">
      <c r="A89" s="5"/>
      <c r="B89" s="5" t="s">
        <v>1</v>
      </c>
      <c r="C89" s="5"/>
      <c r="D89" s="36"/>
      <c r="E89" s="52">
        <f>E90+E97</f>
        <v>28402.720000000001</v>
      </c>
      <c r="F89" s="52">
        <f t="shared" ref="F89:H89" si="43">F90+F97</f>
        <v>169368</v>
      </c>
      <c r="G89" s="52">
        <f t="shared" si="43"/>
        <v>216240</v>
      </c>
      <c r="H89" s="52">
        <f t="shared" si="43"/>
        <v>244140.00000000003</v>
      </c>
      <c r="I89" s="6"/>
      <c r="J89" s="6"/>
      <c r="K89" s="6"/>
      <c r="L89" s="6"/>
    </row>
    <row r="90" spans="1:12" s="7" customFormat="1" x14ac:dyDescent="0.25">
      <c r="A90" s="5"/>
      <c r="B90" s="5" t="s">
        <v>222</v>
      </c>
      <c r="C90" s="5"/>
      <c r="D90" s="36"/>
      <c r="E90" s="52">
        <f>(E91*E92+E94*E95)*E117</f>
        <v>12000</v>
      </c>
      <c r="F90" s="52">
        <f t="shared" ref="F90:H90" si="44">(F91*F92+F94*F95)*F117</f>
        <v>60000</v>
      </c>
      <c r="G90" s="52">
        <f t="shared" si="44"/>
        <v>60000</v>
      </c>
      <c r="H90" s="52">
        <f t="shared" si="44"/>
        <v>60000</v>
      </c>
      <c r="I90" s="6"/>
      <c r="J90" s="6"/>
      <c r="K90" s="6"/>
      <c r="L90" s="6"/>
    </row>
    <row r="91" spans="1:12" s="7" customFormat="1" x14ac:dyDescent="0.25">
      <c r="A91" s="9"/>
      <c r="B91" s="9" t="s">
        <v>405</v>
      </c>
      <c r="C91" s="9"/>
      <c r="D91" s="36"/>
      <c r="E91" s="52">
        <v>3</v>
      </c>
      <c r="F91" s="52">
        <v>5</v>
      </c>
      <c r="G91" s="44">
        <v>5</v>
      </c>
      <c r="H91" s="44">
        <v>5</v>
      </c>
      <c r="I91" s="6"/>
      <c r="J91" s="6"/>
      <c r="K91" s="6"/>
      <c r="L91" s="6"/>
    </row>
    <row r="92" spans="1:12" s="7" customFormat="1" x14ac:dyDescent="0.25">
      <c r="A92" s="9"/>
      <c r="B92" s="9" t="s">
        <v>406</v>
      </c>
      <c r="C92" s="9"/>
      <c r="D92" s="36"/>
      <c r="E92" s="52">
        <v>1000</v>
      </c>
      <c r="F92" s="52">
        <v>1000</v>
      </c>
      <c r="G92" s="52">
        <v>1000</v>
      </c>
      <c r="H92" s="52">
        <v>1000</v>
      </c>
      <c r="I92" s="6"/>
      <c r="J92" s="6"/>
      <c r="K92" s="6"/>
      <c r="L92" s="6"/>
    </row>
    <row r="93" spans="1:12" s="7" customFormat="1" hidden="1" x14ac:dyDescent="0.25">
      <c r="A93" s="9"/>
      <c r="B93" s="9"/>
      <c r="C93" s="9"/>
      <c r="D93" s="36"/>
      <c r="E93" s="52"/>
      <c r="F93" s="52"/>
      <c r="G93" s="52"/>
      <c r="H93" s="52"/>
      <c r="I93" s="6"/>
      <c r="J93" s="6"/>
      <c r="K93" s="6"/>
      <c r="L93" s="6"/>
    </row>
    <row r="94" spans="1:12" s="7" customFormat="1" hidden="1" x14ac:dyDescent="0.25">
      <c r="A94" s="9"/>
      <c r="B94" s="9" t="s">
        <v>44</v>
      </c>
      <c r="C94" s="9"/>
      <c r="D94" s="36"/>
      <c r="E94" s="36">
        <v>0</v>
      </c>
      <c r="F94" s="36"/>
      <c r="G94" s="29"/>
      <c r="H94" s="29"/>
      <c r="I94" s="6"/>
      <c r="J94" s="6"/>
      <c r="K94" s="6"/>
      <c r="L94" s="6"/>
    </row>
    <row r="95" spans="1:12" s="7" customFormat="1" hidden="1" x14ac:dyDescent="0.25">
      <c r="A95" s="9"/>
      <c r="B95" s="9" t="s">
        <v>45</v>
      </c>
      <c r="C95" s="9"/>
      <c r="D95" s="36"/>
      <c r="E95" s="36">
        <v>0</v>
      </c>
      <c r="F95" s="36"/>
      <c r="G95" s="29"/>
      <c r="H95" s="29"/>
      <c r="I95" s="6"/>
      <c r="J95" s="6"/>
      <c r="K95" s="6"/>
      <c r="L95" s="6"/>
    </row>
    <row r="96" spans="1:12" s="7" customFormat="1" x14ac:dyDescent="0.25">
      <c r="A96" s="9"/>
      <c r="B96" s="9"/>
      <c r="C96" s="9"/>
      <c r="D96" s="36"/>
      <c r="E96" s="36"/>
      <c r="F96" s="36"/>
      <c r="G96" s="29"/>
      <c r="H96" s="29"/>
      <c r="I96" s="6"/>
      <c r="J96" s="6"/>
      <c r="K96" s="6"/>
      <c r="L96" s="6"/>
    </row>
    <row r="97" spans="1:12" s="7" customFormat="1" x14ac:dyDescent="0.25">
      <c r="A97" s="5"/>
      <c r="B97" s="5" t="s">
        <v>223</v>
      </c>
      <c r="C97" s="5"/>
      <c r="D97" s="36"/>
      <c r="E97" s="52">
        <f>(E98*E99+E103*E104)*E117</f>
        <v>16402.72</v>
      </c>
      <c r="F97" s="52">
        <f>(F98*F99+F103*F104)*F117*F101</f>
        <v>109368</v>
      </c>
      <c r="G97" s="52">
        <f t="shared" ref="G97:H97" si="45">(G98*G99+G103*G104)*G117*G101</f>
        <v>156240</v>
      </c>
      <c r="H97" s="52">
        <f t="shared" si="45"/>
        <v>184140.00000000003</v>
      </c>
      <c r="I97" s="6"/>
      <c r="J97" s="6"/>
      <c r="K97" s="6"/>
      <c r="L97" s="6"/>
    </row>
    <row r="98" spans="1:12" s="7" customFormat="1" x14ac:dyDescent="0.25">
      <c r="A98" s="9"/>
      <c r="B98" s="9" t="s">
        <v>42</v>
      </c>
      <c r="C98" s="9"/>
      <c r="D98" s="36"/>
      <c r="E98" s="52">
        <f>2*2</f>
        <v>4</v>
      </c>
      <c r="F98" s="52">
        <f>2*6</f>
        <v>12</v>
      </c>
      <c r="G98" s="52">
        <f t="shared" ref="G98:H98" si="46">2*6</f>
        <v>12</v>
      </c>
      <c r="H98" s="52">
        <f t="shared" si="46"/>
        <v>12</v>
      </c>
      <c r="I98" s="6"/>
      <c r="J98" s="6"/>
      <c r="K98" s="6"/>
      <c r="L98" s="6"/>
    </row>
    <row r="99" spans="1:12" s="7" customFormat="1" x14ac:dyDescent="0.25">
      <c r="A99" s="9"/>
      <c r="B99" s="9" t="s">
        <v>43</v>
      </c>
      <c r="C99" s="9"/>
      <c r="D99" s="36"/>
      <c r="E99" s="52">
        <f>E79*E100</f>
        <v>529.12</v>
      </c>
      <c r="F99" s="52">
        <f t="shared" ref="F99:H99" si="47">F79*F100</f>
        <v>560</v>
      </c>
      <c r="G99" s="52">
        <f t="shared" si="47"/>
        <v>560</v>
      </c>
      <c r="H99" s="52">
        <f t="shared" si="47"/>
        <v>600</v>
      </c>
      <c r="I99" s="6"/>
      <c r="J99" s="6"/>
      <c r="K99" s="6"/>
      <c r="L99" s="6"/>
    </row>
    <row r="100" spans="1:12" s="7" customFormat="1" x14ac:dyDescent="0.25">
      <c r="A100" s="9"/>
      <c r="B100" s="79" t="s">
        <v>228</v>
      </c>
      <c r="C100" s="9"/>
      <c r="D100" s="36"/>
      <c r="E100" s="52">
        <v>8</v>
      </c>
      <c r="F100" s="52">
        <v>8</v>
      </c>
      <c r="G100" s="52">
        <v>8</v>
      </c>
      <c r="H100" s="52">
        <v>8</v>
      </c>
      <c r="I100" s="6"/>
      <c r="J100" s="6"/>
      <c r="K100" s="6"/>
      <c r="L100" s="6"/>
    </row>
    <row r="101" spans="1:12" s="7" customFormat="1" x14ac:dyDescent="0.25">
      <c r="A101" s="9"/>
      <c r="B101" s="79" t="s">
        <v>234</v>
      </c>
      <c r="C101" s="9"/>
      <c r="D101" s="36"/>
      <c r="E101" s="53"/>
      <c r="F101" s="53">
        <v>0.7</v>
      </c>
      <c r="G101" s="53">
        <v>1</v>
      </c>
      <c r="H101" s="53">
        <v>1.1000000000000001</v>
      </c>
      <c r="I101" s="6"/>
      <c r="J101" s="6"/>
      <c r="K101" s="6"/>
      <c r="L101" s="6"/>
    </row>
    <row r="102" spans="1:12" s="7" customFormat="1" x14ac:dyDescent="0.25">
      <c r="A102" s="9"/>
      <c r="B102" s="79"/>
      <c r="C102" s="9"/>
      <c r="D102" s="36"/>
      <c r="E102" s="52"/>
      <c r="F102" s="52"/>
      <c r="G102" s="44"/>
      <c r="H102" s="44"/>
      <c r="I102" s="6"/>
      <c r="J102" s="6"/>
      <c r="K102" s="6"/>
      <c r="L102" s="6"/>
    </row>
    <row r="103" spans="1:12" s="7" customFormat="1" x14ac:dyDescent="0.25">
      <c r="A103" s="9"/>
      <c r="B103" s="9" t="s">
        <v>44</v>
      </c>
      <c r="C103" s="9"/>
      <c r="D103" s="36"/>
      <c r="E103" s="52">
        <f>3*2</f>
        <v>6</v>
      </c>
      <c r="F103" s="52">
        <f>3*6</f>
        <v>18</v>
      </c>
      <c r="G103" s="52">
        <f t="shared" ref="G103:H103" si="48">3*6</f>
        <v>18</v>
      </c>
      <c r="H103" s="52">
        <f t="shared" si="48"/>
        <v>18</v>
      </c>
      <c r="I103" s="6"/>
      <c r="J103" s="6"/>
      <c r="K103" s="6"/>
      <c r="L103" s="6"/>
    </row>
    <row r="104" spans="1:12" s="7" customFormat="1" x14ac:dyDescent="0.25">
      <c r="A104" s="9"/>
      <c r="B104" s="9" t="s">
        <v>45</v>
      </c>
      <c r="C104" s="9"/>
      <c r="D104" s="36"/>
      <c r="E104" s="52">
        <f>E79*E105</f>
        <v>330.7</v>
      </c>
      <c r="F104" s="52">
        <f t="shared" ref="F104:H104" si="49">F79*F105</f>
        <v>350</v>
      </c>
      <c r="G104" s="52">
        <f t="shared" si="49"/>
        <v>350</v>
      </c>
      <c r="H104" s="52">
        <f t="shared" si="49"/>
        <v>375</v>
      </c>
      <c r="I104" s="6"/>
      <c r="J104" s="6"/>
      <c r="K104" s="6"/>
      <c r="L104" s="6"/>
    </row>
    <row r="105" spans="1:12" s="7" customFormat="1" x14ac:dyDescent="0.25">
      <c r="A105" s="9"/>
      <c r="B105" s="79" t="s">
        <v>228</v>
      </c>
      <c r="C105" s="9"/>
      <c r="D105" s="36"/>
      <c r="E105" s="52">
        <v>5</v>
      </c>
      <c r="F105" s="52">
        <v>5</v>
      </c>
      <c r="G105" s="52">
        <v>5</v>
      </c>
      <c r="H105" s="52">
        <v>5</v>
      </c>
      <c r="I105" s="6"/>
      <c r="J105" s="6"/>
      <c r="K105" s="6"/>
      <c r="L105" s="6"/>
    </row>
    <row r="106" spans="1:12" x14ac:dyDescent="0.25">
      <c r="D106" s="36"/>
      <c r="E106" s="52"/>
      <c r="F106" s="52"/>
      <c r="G106" s="44"/>
      <c r="H106" s="44"/>
    </row>
    <row r="107" spans="1:12" s="7" customFormat="1" x14ac:dyDescent="0.25">
      <c r="A107" s="5"/>
      <c r="B107" s="5" t="s">
        <v>229</v>
      </c>
      <c r="C107" s="5"/>
      <c r="D107" s="36"/>
      <c r="E107" s="52">
        <f>(E108*E109+E112*E113)*E117</f>
        <v>12566.599999999999</v>
      </c>
      <c r="F107" s="52">
        <f t="shared" ref="F107:H107" si="50">(F108*F109+F112*F113)*F117</f>
        <v>39900</v>
      </c>
      <c r="G107" s="52">
        <f t="shared" si="50"/>
        <v>39900</v>
      </c>
      <c r="H107" s="52">
        <f t="shared" si="50"/>
        <v>42750</v>
      </c>
      <c r="I107" s="6"/>
      <c r="J107" s="6"/>
      <c r="K107" s="6"/>
      <c r="L107" s="6"/>
    </row>
    <row r="108" spans="1:12" s="7" customFormat="1" x14ac:dyDescent="0.25">
      <c r="A108" s="9"/>
      <c r="B108" s="9" t="s">
        <v>230</v>
      </c>
      <c r="C108" s="9"/>
      <c r="D108" s="36"/>
      <c r="E108" s="52">
        <v>5</v>
      </c>
      <c r="F108" s="52">
        <v>5</v>
      </c>
      <c r="G108" s="52">
        <v>5</v>
      </c>
      <c r="H108" s="52">
        <v>5</v>
      </c>
      <c r="I108" s="6"/>
      <c r="J108" s="6"/>
      <c r="K108" s="6"/>
      <c r="L108" s="6"/>
    </row>
    <row r="109" spans="1:12" s="7" customFormat="1" x14ac:dyDescent="0.25">
      <c r="A109" s="9"/>
      <c r="B109" s="9" t="s">
        <v>231</v>
      </c>
      <c r="C109" s="9"/>
      <c r="D109" s="36"/>
      <c r="E109" s="52">
        <f>E110*E79</f>
        <v>231.49</v>
      </c>
      <c r="F109" s="52">
        <f>F110*F79</f>
        <v>245</v>
      </c>
      <c r="G109" s="52">
        <f>G110*G79</f>
        <v>245</v>
      </c>
      <c r="H109" s="52">
        <f>H110*H79</f>
        <v>262.5</v>
      </c>
      <c r="I109" s="6"/>
      <c r="J109" s="6"/>
      <c r="K109" s="6"/>
      <c r="L109" s="6"/>
    </row>
    <row r="110" spans="1:12" ht="13.5" customHeight="1" x14ac:dyDescent="0.25">
      <c r="B110" s="79" t="s">
        <v>228</v>
      </c>
      <c r="D110" s="36"/>
      <c r="E110" s="52">
        <v>3.5</v>
      </c>
      <c r="F110" s="52">
        <v>3.5</v>
      </c>
      <c r="G110" s="52">
        <v>3.5</v>
      </c>
      <c r="H110" s="52">
        <v>3.5</v>
      </c>
    </row>
    <row r="111" spans="1:12" ht="13.5" customHeight="1" x14ac:dyDescent="0.25">
      <c r="B111" s="79"/>
      <c r="D111" s="36"/>
      <c r="E111" s="52"/>
      <c r="F111" s="52"/>
      <c r="G111" s="52"/>
      <c r="H111" s="52"/>
    </row>
    <row r="112" spans="1:12" s="7" customFormat="1" x14ac:dyDescent="0.25">
      <c r="A112" s="9"/>
      <c r="B112" s="9" t="s">
        <v>48</v>
      </c>
      <c r="C112" s="9"/>
      <c r="D112" s="36"/>
      <c r="E112" s="52">
        <v>12</v>
      </c>
      <c r="F112" s="52">
        <v>12</v>
      </c>
      <c r="G112" s="52">
        <v>12</v>
      </c>
      <c r="H112" s="52">
        <v>12</v>
      </c>
      <c r="I112" s="6"/>
      <c r="J112" s="6"/>
      <c r="K112" s="6"/>
      <c r="L112" s="6"/>
    </row>
    <row r="113" spans="1:12" s="7" customFormat="1" x14ac:dyDescent="0.25">
      <c r="A113" s="9"/>
      <c r="B113" s="9" t="s">
        <v>49</v>
      </c>
      <c r="C113" s="9"/>
      <c r="D113" s="36"/>
      <c r="E113" s="52">
        <f>E114*E79</f>
        <v>165.35</v>
      </c>
      <c r="F113" s="52">
        <f>F114*F79</f>
        <v>175</v>
      </c>
      <c r="G113" s="52">
        <f>G114*G79</f>
        <v>175</v>
      </c>
      <c r="H113" s="52">
        <f>H114*H79</f>
        <v>187.5</v>
      </c>
      <c r="I113" s="6"/>
      <c r="J113" s="6"/>
      <c r="K113" s="6"/>
      <c r="L113" s="6"/>
    </row>
    <row r="114" spans="1:12" ht="13.5" customHeight="1" x14ac:dyDescent="0.25">
      <c r="B114" s="79" t="s">
        <v>228</v>
      </c>
      <c r="D114" s="36"/>
      <c r="E114" s="52">
        <v>2.5</v>
      </c>
      <c r="F114" s="52">
        <v>2.5</v>
      </c>
      <c r="G114" s="52">
        <v>2.5</v>
      </c>
      <c r="H114" s="52">
        <v>2.5</v>
      </c>
    </row>
    <row r="115" spans="1:12" ht="13.5" customHeight="1" x14ac:dyDescent="0.25">
      <c r="B115" s="79"/>
      <c r="D115" s="36"/>
      <c r="E115" s="52"/>
      <c r="F115" s="52"/>
      <c r="G115" s="52"/>
      <c r="H115" s="52"/>
    </row>
    <row r="116" spans="1:12" ht="15.75" customHeight="1" x14ac:dyDescent="0.25">
      <c r="B116" s="79" t="s">
        <v>57</v>
      </c>
      <c r="D116" s="36"/>
      <c r="E116" s="52">
        <f>1+E85+E91+E94+E98+E103+E108+E112</f>
        <v>36</v>
      </c>
      <c r="F116" s="52">
        <f t="shared" ref="F116:H116" si="51">1+F85+F91+F94+F98+F103+F108+F112</f>
        <v>58</v>
      </c>
      <c r="G116" s="52">
        <f t="shared" si="51"/>
        <v>58</v>
      </c>
      <c r="H116" s="52">
        <f t="shared" si="51"/>
        <v>58</v>
      </c>
    </row>
    <row r="117" spans="1:12" s="7" customFormat="1" x14ac:dyDescent="0.25">
      <c r="A117" s="9"/>
      <c r="B117" s="9" t="s">
        <v>40</v>
      </c>
      <c r="C117" s="9"/>
      <c r="D117" s="36"/>
      <c r="E117" s="54">
        <v>4</v>
      </c>
      <c r="F117" s="52">
        <v>12</v>
      </c>
      <c r="G117" s="52">
        <v>12</v>
      </c>
      <c r="H117" s="52">
        <v>12</v>
      </c>
      <c r="I117" s="6"/>
      <c r="J117" s="6"/>
      <c r="K117" s="6"/>
      <c r="L117" s="6"/>
    </row>
    <row r="118" spans="1:12" x14ac:dyDescent="0.25">
      <c r="D118" s="36"/>
      <c r="E118" s="52"/>
      <c r="F118" s="52"/>
      <c r="G118" s="44"/>
      <c r="H118" s="44"/>
    </row>
    <row r="119" spans="1:12" x14ac:dyDescent="0.25">
      <c r="A119" s="58"/>
      <c r="B119" s="58" t="s">
        <v>10</v>
      </c>
      <c r="C119" s="58"/>
      <c r="D119" s="59"/>
      <c r="E119" s="60">
        <f>E120*E121+E123*E124</f>
        <v>2890.9833550000003</v>
      </c>
      <c r="F119" s="60">
        <f t="shared" ref="F119:H119" si="52">F120*F121+F123*F124</f>
        <v>20833.222366666669</v>
      </c>
      <c r="G119" s="60">
        <f t="shared" si="52"/>
        <v>20833.222366666669</v>
      </c>
      <c r="H119" s="60">
        <f t="shared" si="52"/>
        <v>20833.222366666669</v>
      </c>
    </row>
    <row r="120" spans="1:12" s="7" customFormat="1" x14ac:dyDescent="0.25">
      <c r="A120" s="5"/>
      <c r="B120" s="9" t="s">
        <v>50</v>
      </c>
      <c r="C120" s="5"/>
      <c r="D120" s="36"/>
      <c r="E120" s="52">
        <v>3</v>
      </c>
      <c r="F120" s="52">
        <v>20</v>
      </c>
      <c r="G120" s="52">
        <v>20</v>
      </c>
      <c r="H120" s="52">
        <v>20</v>
      </c>
      <c r="I120" s="6"/>
      <c r="J120" s="6"/>
      <c r="K120" s="6"/>
      <c r="L120" s="6"/>
    </row>
    <row r="121" spans="1:12" s="7" customFormat="1" x14ac:dyDescent="0.25">
      <c r="A121" s="5"/>
      <c r="B121" s="9" t="s">
        <v>51</v>
      </c>
      <c r="C121" s="5"/>
      <c r="D121" s="36"/>
      <c r="E121" s="52">
        <f>Trips!$B$10</f>
        <v>911.66111833333343</v>
      </c>
      <c r="F121" s="52">
        <f>Trips!$B$10</f>
        <v>911.66111833333343</v>
      </c>
      <c r="G121" s="52">
        <f>Trips!$B$10</f>
        <v>911.66111833333343</v>
      </c>
      <c r="H121" s="52">
        <f>Trips!$B$10</f>
        <v>911.66111833333343</v>
      </c>
      <c r="I121" s="6"/>
      <c r="J121" s="6"/>
      <c r="K121" s="6"/>
      <c r="L121" s="6"/>
    </row>
    <row r="122" spans="1:12" x14ac:dyDescent="0.25">
      <c r="D122" s="36"/>
      <c r="E122" s="36"/>
      <c r="F122" s="36"/>
      <c r="G122" s="29"/>
      <c r="H122" s="29"/>
    </row>
    <row r="123" spans="1:12" s="7" customFormat="1" x14ac:dyDescent="0.25">
      <c r="A123" s="5"/>
      <c r="B123" s="9" t="s">
        <v>52</v>
      </c>
      <c r="C123" s="5"/>
      <c r="D123" s="36"/>
      <c r="E123" s="52">
        <v>3</v>
      </c>
      <c r="F123" s="52">
        <v>50</v>
      </c>
      <c r="G123" s="52">
        <v>50</v>
      </c>
      <c r="H123" s="52">
        <v>50</v>
      </c>
      <c r="I123" s="6"/>
      <c r="J123" s="6"/>
      <c r="K123" s="6"/>
      <c r="L123" s="6"/>
    </row>
    <row r="124" spans="1:12" s="7" customFormat="1" x14ac:dyDescent="0.25">
      <c r="A124" s="5"/>
      <c r="B124" s="9" t="s">
        <v>53</v>
      </c>
      <c r="C124" s="5"/>
      <c r="D124" s="36"/>
      <c r="E124" s="52">
        <f>Trips!$B$5</f>
        <v>52</v>
      </c>
      <c r="F124" s="52">
        <f>Trips!$B$5</f>
        <v>52</v>
      </c>
      <c r="G124" s="52">
        <f>Trips!$B$5</f>
        <v>52</v>
      </c>
      <c r="H124" s="52">
        <f>Trips!$B$5</f>
        <v>52</v>
      </c>
      <c r="I124" s="6"/>
      <c r="J124" s="6"/>
      <c r="K124" s="6"/>
      <c r="L124" s="6"/>
    </row>
    <row r="125" spans="1:12" x14ac:dyDescent="0.25">
      <c r="D125" s="36"/>
      <c r="E125" s="36"/>
      <c r="F125" s="36"/>
      <c r="G125" s="29"/>
      <c r="H125" s="29"/>
    </row>
    <row r="126" spans="1:12" x14ac:dyDescent="0.25">
      <c r="D126" s="36"/>
      <c r="E126" s="36"/>
      <c r="F126" s="36"/>
      <c r="G126" s="29"/>
      <c r="H126" s="29"/>
    </row>
    <row r="127" spans="1:12" x14ac:dyDescent="0.25">
      <c r="A127" s="58"/>
      <c r="B127" s="58" t="s">
        <v>192</v>
      </c>
      <c r="C127" s="58"/>
      <c r="D127" s="59"/>
      <c r="E127" s="60">
        <f>E128*E129</f>
        <v>712.48985000000005</v>
      </c>
      <c r="F127" s="60">
        <f t="shared" ref="F127:H127" si="53">F128*F129</f>
        <v>0</v>
      </c>
      <c r="G127" s="60">
        <f t="shared" si="53"/>
        <v>775.08137083265001</v>
      </c>
      <c r="H127" s="60">
        <f t="shared" si="53"/>
        <v>808.40986977845387</v>
      </c>
    </row>
    <row r="128" spans="1:12" s="7" customFormat="1" x14ac:dyDescent="0.25">
      <c r="A128" s="10"/>
      <c r="B128" s="45" t="s">
        <v>162</v>
      </c>
      <c r="C128" s="10" t="s">
        <v>163</v>
      </c>
      <c r="D128" s="36"/>
      <c r="E128" s="52">
        <v>1</v>
      </c>
      <c r="F128" s="52">
        <v>0</v>
      </c>
      <c r="G128" s="52">
        <v>1</v>
      </c>
      <c r="H128" s="52">
        <v>1</v>
      </c>
      <c r="I128" s="6"/>
      <c r="J128" s="6"/>
      <c r="K128" s="6"/>
      <c r="L128" s="6"/>
    </row>
    <row r="129" spans="1:12" s="7" customFormat="1" x14ac:dyDescent="0.25">
      <c r="A129" s="5"/>
      <c r="B129" s="45" t="s">
        <v>159</v>
      </c>
      <c r="C129" s="5"/>
      <c r="D129" s="36"/>
      <c r="E129" s="52">
        <f>Trips!B29</f>
        <v>712.48985000000005</v>
      </c>
      <c r="F129" s="52">
        <f>E129*(1+index)</f>
        <v>743.12691355000004</v>
      </c>
      <c r="G129" s="52">
        <f>F129*(1+index)</f>
        <v>775.08137083265001</v>
      </c>
      <c r="H129" s="52">
        <f>G129*(1+index)</f>
        <v>808.40986977845387</v>
      </c>
      <c r="I129" s="6"/>
      <c r="J129" s="6"/>
      <c r="K129" s="6"/>
      <c r="L129" s="6"/>
    </row>
    <row r="130" spans="1:12" s="36" customFormat="1" x14ac:dyDescent="0.25">
      <c r="A130" s="110"/>
      <c r="B130" s="5" t="s">
        <v>73</v>
      </c>
      <c r="C130" s="110"/>
      <c r="E130" s="52">
        <f>'Rates and GI'!$E$27*(E77+E119+E132+E138+E179+E192)*2</f>
        <v>834.83343354999988</v>
      </c>
      <c r="F130" s="52">
        <f>E130</f>
        <v>834.83343354999988</v>
      </c>
      <c r="G130" s="52">
        <f t="shared" ref="G130:H130" si="54">F130</f>
        <v>834.83343354999988</v>
      </c>
      <c r="H130" s="52">
        <f t="shared" si="54"/>
        <v>834.83343354999988</v>
      </c>
      <c r="I130" s="40"/>
      <c r="J130" s="40"/>
      <c r="K130" s="40"/>
      <c r="L130" s="40"/>
    </row>
    <row r="131" spans="1:12" x14ac:dyDescent="0.25">
      <c r="D131" s="36"/>
      <c r="E131" s="36"/>
      <c r="F131" s="36"/>
      <c r="G131" s="29"/>
      <c r="H131" s="29"/>
    </row>
    <row r="132" spans="1:12" x14ac:dyDescent="0.25">
      <c r="A132" s="58"/>
      <c r="B132" s="58" t="s">
        <v>148</v>
      </c>
      <c r="C132" s="58"/>
      <c r="D132" s="59"/>
      <c r="E132" s="60">
        <f>E133*E134+E135*E136</f>
        <v>0</v>
      </c>
      <c r="F132" s="60">
        <f t="shared" ref="F132:H132" si="55">F133*F134+F135*F136</f>
        <v>4037.3209999999999</v>
      </c>
      <c r="G132" s="60">
        <f t="shared" si="55"/>
        <v>4189.8366249999999</v>
      </c>
      <c r="H132" s="60">
        <f t="shared" si="55"/>
        <v>2805.5246531249995</v>
      </c>
    </row>
    <row r="133" spans="1:12" x14ac:dyDescent="0.25">
      <c r="B133" s="45" t="s">
        <v>149</v>
      </c>
      <c r="C133" s="5" t="s">
        <v>150</v>
      </c>
      <c r="D133" s="36"/>
      <c r="E133" s="52"/>
      <c r="F133" s="52">
        <f>Training!$C$31</f>
        <v>81.741000000000014</v>
      </c>
      <c r="G133" s="52">
        <f>Training!$C$31</f>
        <v>81.741000000000014</v>
      </c>
      <c r="H133" s="52">
        <f>Training!$C$31</f>
        <v>81.741000000000014</v>
      </c>
    </row>
    <row r="134" spans="1:12" x14ac:dyDescent="0.25">
      <c r="B134" s="45" t="s">
        <v>151</v>
      </c>
      <c r="D134" s="36"/>
      <c r="E134" s="52"/>
      <c r="F134" s="52">
        <v>6</v>
      </c>
      <c r="G134" s="52">
        <v>6</v>
      </c>
      <c r="H134" s="52">
        <v>6</v>
      </c>
    </row>
    <row r="135" spans="1:12" x14ac:dyDescent="0.25">
      <c r="B135" s="45" t="s">
        <v>152</v>
      </c>
      <c r="D135" s="36"/>
      <c r="E135" s="52"/>
      <c r="F135" s="52">
        <f>Training!C$22</f>
        <v>709.375</v>
      </c>
      <c r="G135" s="52">
        <f>F135*(1+index)</f>
        <v>739.87812499999995</v>
      </c>
      <c r="H135" s="52">
        <f>G135*(1+index)</f>
        <v>771.69288437499995</v>
      </c>
    </row>
    <row r="136" spans="1:12" x14ac:dyDescent="0.25">
      <c r="B136" s="45" t="s">
        <v>153</v>
      </c>
      <c r="D136" s="36"/>
      <c r="E136" s="52">
        <v>0</v>
      </c>
      <c r="F136" s="52">
        <v>5</v>
      </c>
      <c r="G136" s="52">
        <v>5</v>
      </c>
      <c r="H136" s="52">
        <v>3</v>
      </c>
    </row>
    <row r="137" spans="1:12" x14ac:dyDescent="0.25">
      <c r="B137" s="45"/>
      <c r="D137" s="36"/>
      <c r="E137" s="36"/>
      <c r="F137" s="36"/>
      <c r="G137" s="29"/>
      <c r="H137" s="29"/>
    </row>
    <row r="138" spans="1:12" x14ac:dyDescent="0.25">
      <c r="A138" s="58"/>
      <c r="B138" s="58" t="s">
        <v>24</v>
      </c>
      <c r="C138" s="58"/>
      <c r="D138" s="59"/>
      <c r="E138" s="60">
        <f>E139*E140</f>
        <v>240</v>
      </c>
      <c r="F138" s="60">
        <f t="shared" ref="F138:H138" si="56">F139*F140</f>
        <v>0</v>
      </c>
      <c r="G138" s="60">
        <f t="shared" si="56"/>
        <v>326.35469999999998</v>
      </c>
      <c r="H138" s="60">
        <f t="shared" si="56"/>
        <v>306.34915688999996</v>
      </c>
    </row>
    <row r="139" spans="1:12" s="7" customFormat="1" x14ac:dyDescent="0.25">
      <c r="A139" s="5"/>
      <c r="B139" s="45" t="s">
        <v>54</v>
      </c>
      <c r="C139" s="5"/>
      <c r="D139" s="36"/>
      <c r="E139" s="52">
        <v>40</v>
      </c>
      <c r="F139" s="52">
        <v>0</v>
      </c>
      <c r="G139" s="52">
        <v>50</v>
      </c>
      <c r="H139" s="52">
        <v>45</v>
      </c>
      <c r="I139" s="6"/>
      <c r="J139" s="6"/>
      <c r="K139" s="6"/>
      <c r="L139" s="6"/>
    </row>
    <row r="140" spans="1:12" s="7" customFormat="1" x14ac:dyDescent="0.25">
      <c r="A140" s="5"/>
      <c r="B140" s="45" t="s">
        <v>55</v>
      </c>
      <c r="C140" s="5"/>
      <c r="D140" s="36"/>
      <c r="E140" s="52">
        <f>'Rates and GI'!D30</f>
        <v>6</v>
      </c>
      <c r="F140" s="52">
        <f>E140*(1+index)</f>
        <v>6.2579999999999991</v>
      </c>
      <c r="G140" s="52">
        <f>F140*(1+index)</f>
        <v>6.5270939999999991</v>
      </c>
      <c r="H140" s="52">
        <f>G140*(1+index)</f>
        <v>6.8077590419999989</v>
      </c>
      <c r="I140" s="6"/>
      <c r="J140" s="6"/>
      <c r="K140" s="6"/>
      <c r="L140" s="6"/>
    </row>
    <row r="141" spans="1:12" x14ac:dyDescent="0.25">
      <c r="D141" s="36"/>
      <c r="E141" s="36"/>
      <c r="F141" s="36"/>
      <c r="G141" s="29"/>
      <c r="H141" s="29"/>
    </row>
    <row r="142" spans="1:12" x14ac:dyDescent="0.25">
      <c r="A142" s="58"/>
      <c r="B142" s="58" t="s">
        <v>7</v>
      </c>
      <c r="C142" s="58"/>
      <c r="D142" s="59"/>
      <c r="E142" s="59"/>
      <c r="F142" s="59"/>
      <c r="G142" s="59"/>
      <c r="H142" s="59"/>
    </row>
    <row r="143" spans="1:12" s="7" customFormat="1" x14ac:dyDescent="0.25">
      <c r="A143" s="5"/>
      <c r="B143" s="4" t="s">
        <v>58</v>
      </c>
      <c r="C143" s="5"/>
      <c r="D143" s="36"/>
      <c r="E143" s="52">
        <f>E145*E146*E147</f>
        <v>0</v>
      </c>
      <c r="F143" s="36"/>
      <c r="G143" s="44">
        <f>'New building'!B12*60%*70%</f>
        <v>1150483.854545454</v>
      </c>
      <c r="H143" s="44">
        <f>'New building'!B12*60%*30%</f>
        <v>493064.50909090892</v>
      </c>
      <c r="I143" s="6"/>
      <c r="J143" s="6"/>
      <c r="K143" s="6"/>
      <c r="L143" s="6"/>
    </row>
    <row r="144" spans="1:12" s="7" customFormat="1" x14ac:dyDescent="0.25">
      <c r="A144" s="5"/>
      <c r="B144" s="47" t="s">
        <v>308</v>
      </c>
      <c r="C144" s="46" t="s">
        <v>56</v>
      </c>
      <c r="D144" s="36"/>
      <c r="E144" s="52">
        <f>E145*E146</f>
        <v>1218</v>
      </c>
      <c r="F144" s="36"/>
      <c r="G144" s="29"/>
      <c r="H144" s="29"/>
      <c r="I144" s="6"/>
      <c r="J144" s="6"/>
      <c r="K144" s="6"/>
      <c r="L144" s="6"/>
    </row>
    <row r="145" spans="1:12" s="51" customFormat="1" x14ac:dyDescent="0.25">
      <c r="A145" s="46"/>
      <c r="B145" s="47" t="s">
        <v>59</v>
      </c>
      <c r="C145" s="46" t="s">
        <v>56</v>
      </c>
      <c r="D145" s="48"/>
      <c r="E145" s="52">
        <v>21</v>
      </c>
      <c r="F145" s="52"/>
      <c r="G145" s="52"/>
      <c r="H145" s="52"/>
      <c r="I145" s="50"/>
      <c r="J145" s="50"/>
      <c r="K145" s="50"/>
      <c r="L145" s="50"/>
    </row>
    <row r="146" spans="1:12" s="46" customFormat="1" x14ac:dyDescent="0.25">
      <c r="B146" s="47" t="s">
        <v>243</v>
      </c>
      <c r="D146" s="48"/>
      <c r="E146" s="52">
        <f>MAX($E116:$H116)</f>
        <v>58</v>
      </c>
      <c r="F146" s="52"/>
      <c r="G146" s="52"/>
      <c r="H146" s="52"/>
      <c r="I146" s="50"/>
      <c r="J146" s="50"/>
      <c r="K146" s="50"/>
      <c r="L146" s="50"/>
    </row>
    <row r="147" spans="1:12" s="46" customFormat="1" x14ac:dyDescent="0.25">
      <c r="B147" s="47" t="s">
        <v>60</v>
      </c>
      <c r="D147" s="48"/>
      <c r="E147" s="52">
        <v>0</v>
      </c>
      <c r="F147" s="48"/>
      <c r="G147" s="49"/>
      <c r="H147" s="49"/>
      <c r="I147" s="50"/>
      <c r="J147" s="50"/>
      <c r="K147" s="50"/>
      <c r="L147" s="50"/>
    </row>
    <row r="148" spans="1:12" x14ac:dyDescent="0.25">
      <c r="D148" s="36"/>
      <c r="E148" s="36"/>
      <c r="F148" s="36"/>
      <c r="G148" s="29"/>
      <c r="H148" s="29"/>
    </row>
    <row r="149" spans="1:12" x14ac:dyDescent="0.25">
      <c r="A149" s="58"/>
      <c r="B149" s="58" t="s">
        <v>26</v>
      </c>
      <c r="C149" s="58"/>
      <c r="D149" s="59"/>
      <c r="E149" s="60">
        <f>E150+E153+E157</f>
        <v>174000</v>
      </c>
      <c r="F149" s="60">
        <f>F150+F153+F157</f>
        <v>22000</v>
      </c>
      <c r="G149" s="60">
        <f t="shared" ref="G149:H149" si="57">G150+G153+G157</f>
        <v>10000</v>
      </c>
      <c r="H149" s="60">
        <f t="shared" si="57"/>
        <v>10000</v>
      </c>
    </row>
    <row r="150" spans="1:12" s="5" customFormat="1" x14ac:dyDescent="0.25">
      <c r="B150" s="5" t="s">
        <v>61</v>
      </c>
      <c r="D150" s="36"/>
      <c r="E150" s="52">
        <f>E151*E152</f>
        <v>8700</v>
      </c>
      <c r="F150" s="52">
        <f t="shared" ref="F150:H150" si="58">F151*F152</f>
        <v>6600</v>
      </c>
      <c r="G150" s="52">
        <f t="shared" si="58"/>
        <v>3000</v>
      </c>
      <c r="H150" s="52">
        <f t="shared" si="58"/>
        <v>3000</v>
      </c>
      <c r="I150" s="6"/>
      <c r="J150" s="6"/>
      <c r="K150" s="6"/>
      <c r="L150" s="6"/>
    </row>
    <row r="151" spans="1:12" s="5" customFormat="1" x14ac:dyDescent="0.25">
      <c r="B151" s="47" t="s">
        <v>166</v>
      </c>
      <c r="D151" s="36"/>
      <c r="E151" s="52">
        <f>'Rates and GI'!$D$38</f>
        <v>300</v>
      </c>
      <c r="F151" s="52">
        <f>'Rates and GI'!$D$38</f>
        <v>300</v>
      </c>
      <c r="G151" s="52">
        <f>'Rates and GI'!$D$38</f>
        <v>300</v>
      </c>
      <c r="H151" s="52">
        <f>'Rates and GI'!$D$38</f>
        <v>300</v>
      </c>
      <c r="I151" s="6"/>
      <c r="J151" s="6"/>
      <c r="K151" s="6"/>
      <c r="L151" s="6"/>
    </row>
    <row r="152" spans="1:12" s="5" customFormat="1" x14ac:dyDescent="0.25">
      <c r="B152" s="47" t="s">
        <v>165</v>
      </c>
      <c r="D152" s="36"/>
      <c r="E152" s="52">
        <f>1+E85+E91+E94+E98+E103+E108+5</f>
        <v>29</v>
      </c>
      <c r="F152" s="52">
        <f>1+F85+F91+F94+F98+F103+F108+5-E152</f>
        <v>22</v>
      </c>
      <c r="G152" s="52">
        <f>1+G85+G91+G94+G98+G103+G108+5-F152-E152+10</f>
        <v>10</v>
      </c>
      <c r="H152" s="52">
        <f>1+H85+H91+H94+H98+H103+H108+5-G152-F152-E152+20</f>
        <v>10</v>
      </c>
      <c r="I152" s="6"/>
      <c r="J152" s="6"/>
      <c r="K152" s="6"/>
      <c r="L152" s="6"/>
    </row>
    <row r="153" spans="1:12" s="5" customFormat="1" x14ac:dyDescent="0.25">
      <c r="B153" s="5" t="s">
        <v>62</v>
      </c>
      <c r="D153" s="36"/>
      <c r="E153" s="52">
        <f>E154*E155</f>
        <v>20300</v>
      </c>
      <c r="F153" s="52">
        <f t="shared" ref="F153:H153" si="59">F154*F155</f>
        <v>15400</v>
      </c>
      <c r="G153" s="52">
        <f t="shared" si="59"/>
        <v>7000</v>
      </c>
      <c r="H153" s="52">
        <f t="shared" si="59"/>
        <v>7000</v>
      </c>
      <c r="I153" s="6"/>
      <c r="J153" s="6"/>
      <c r="K153" s="6"/>
      <c r="L153" s="6"/>
    </row>
    <row r="154" spans="1:12" s="5" customFormat="1" x14ac:dyDescent="0.25">
      <c r="B154" s="47" t="s">
        <v>166</v>
      </c>
      <c r="D154" s="36"/>
      <c r="E154" s="52">
        <f>'Rates and GI'!$D$39</f>
        <v>350</v>
      </c>
      <c r="F154" s="52">
        <f>'Rates and GI'!$D$39</f>
        <v>350</v>
      </c>
      <c r="G154" s="52">
        <f>'Rates and GI'!$D$39</f>
        <v>350</v>
      </c>
      <c r="H154" s="52">
        <f>'Rates and GI'!$D$39</f>
        <v>350</v>
      </c>
      <c r="I154" s="6"/>
      <c r="J154" s="6"/>
      <c r="K154" s="6"/>
      <c r="L154" s="6"/>
    </row>
    <row r="155" spans="1:12" s="5" customFormat="1" x14ac:dyDescent="0.25">
      <c r="B155" s="47" t="s">
        <v>165</v>
      </c>
      <c r="D155" s="36"/>
      <c r="E155" s="52">
        <f>E152*2</f>
        <v>58</v>
      </c>
      <c r="F155" s="52">
        <f t="shared" ref="F155:H155" si="60">F152*2</f>
        <v>44</v>
      </c>
      <c r="G155" s="52">
        <f t="shared" si="60"/>
        <v>20</v>
      </c>
      <c r="H155" s="52">
        <f t="shared" si="60"/>
        <v>20</v>
      </c>
      <c r="I155" s="6"/>
      <c r="J155" s="6"/>
      <c r="K155" s="6"/>
      <c r="L155" s="6"/>
    </row>
    <row r="157" spans="1:12" s="5" customFormat="1" x14ac:dyDescent="0.25">
      <c r="B157" s="10" t="s">
        <v>309</v>
      </c>
      <c r="D157" s="36"/>
      <c r="E157" s="52">
        <f>SUM(E158:E160)</f>
        <v>145000</v>
      </c>
      <c r="F157" s="52">
        <f>F158+F159</f>
        <v>0</v>
      </c>
      <c r="G157" s="52">
        <f>G158+G159</f>
        <v>0</v>
      </c>
      <c r="H157" s="52">
        <f>H158+H159</f>
        <v>0</v>
      </c>
      <c r="I157" s="6"/>
      <c r="J157" s="6"/>
      <c r="K157" s="6"/>
      <c r="L157" s="6"/>
    </row>
    <row r="158" spans="1:12" s="5" customFormat="1" x14ac:dyDescent="0.25">
      <c r="B158" s="47" t="s">
        <v>235</v>
      </c>
      <c r="D158" s="36"/>
      <c r="E158" s="52">
        <v>40000</v>
      </c>
      <c r="F158" s="52"/>
      <c r="G158" s="44"/>
      <c r="H158" s="44"/>
      <c r="I158" s="6"/>
      <c r="J158" s="6"/>
      <c r="K158" s="6"/>
      <c r="L158" s="6"/>
    </row>
    <row r="159" spans="1:12" s="5" customFormat="1" x14ac:dyDescent="0.25">
      <c r="B159" s="47" t="s">
        <v>236</v>
      </c>
      <c r="D159" s="36"/>
      <c r="E159" s="52">
        <v>70000</v>
      </c>
      <c r="F159" s="52"/>
      <c r="G159" s="44"/>
      <c r="H159" s="44"/>
      <c r="I159" s="6"/>
      <c r="J159" s="6"/>
      <c r="K159" s="6"/>
      <c r="L159" s="6"/>
    </row>
    <row r="160" spans="1:12" s="5" customFormat="1" x14ac:dyDescent="0.25">
      <c r="B160" s="47" t="s">
        <v>404</v>
      </c>
      <c r="D160" s="36"/>
      <c r="E160" s="52">
        <v>35000</v>
      </c>
      <c r="F160" s="52"/>
      <c r="G160" s="44"/>
      <c r="H160" s="44"/>
      <c r="I160" s="6"/>
      <c r="J160" s="6"/>
      <c r="K160" s="6"/>
      <c r="L160" s="6"/>
    </row>
    <row r="161" spans="1:12" x14ac:dyDescent="0.25">
      <c r="D161" s="36"/>
      <c r="E161" s="36"/>
      <c r="F161" s="36"/>
      <c r="G161" s="29"/>
      <c r="H161" s="29"/>
    </row>
    <row r="162" spans="1:12" x14ac:dyDescent="0.25">
      <c r="A162" s="58"/>
      <c r="B162" s="58" t="s">
        <v>8</v>
      </c>
      <c r="C162" s="58"/>
      <c r="D162" s="59"/>
      <c r="E162" s="60">
        <f>E163*E164</f>
        <v>14500</v>
      </c>
      <c r="F162" s="60">
        <f>F163*F164</f>
        <v>11000</v>
      </c>
      <c r="G162" s="60">
        <f t="shared" ref="G162:H162" si="61">G163*G164</f>
        <v>0</v>
      </c>
      <c r="H162" s="60">
        <f t="shared" si="61"/>
        <v>0</v>
      </c>
    </row>
    <row r="163" spans="1:12" s="5" customFormat="1" x14ac:dyDescent="0.25">
      <c r="B163" s="47" t="s">
        <v>166</v>
      </c>
      <c r="D163" s="36"/>
      <c r="E163" s="52">
        <f>'Rates and GI'!$D$40</f>
        <v>100</v>
      </c>
      <c r="F163" s="52">
        <f>'Rates and GI'!$D$40</f>
        <v>100</v>
      </c>
      <c r="G163" s="52">
        <f>'Rates and GI'!$D$40</f>
        <v>100</v>
      </c>
      <c r="H163" s="52">
        <f>'Rates and GI'!$D$40</f>
        <v>100</v>
      </c>
      <c r="I163" s="6"/>
      <c r="J163" s="6"/>
      <c r="K163" s="6"/>
      <c r="L163" s="6"/>
    </row>
    <row r="164" spans="1:12" s="5" customFormat="1" x14ac:dyDescent="0.25">
      <c r="B164" s="47" t="s">
        <v>165</v>
      </c>
      <c r="D164" s="36"/>
      <c r="E164" s="52">
        <f>E152*5</f>
        <v>145</v>
      </c>
      <c r="F164" s="52">
        <f>F152*5</f>
        <v>110</v>
      </c>
      <c r="G164" s="52">
        <v>0</v>
      </c>
      <c r="H164" s="36">
        <v>0</v>
      </c>
      <c r="I164" s="6"/>
      <c r="J164" s="6"/>
      <c r="K164" s="6"/>
      <c r="L164" s="6"/>
    </row>
    <row r="165" spans="1:12" x14ac:dyDescent="0.25">
      <c r="D165" s="36"/>
      <c r="E165" s="36"/>
      <c r="F165" s="36"/>
      <c r="G165" s="29"/>
      <c r="H165" s="29"/>
    </row>
    <row r="166" spans="1:12" x14ac:dyDescent="0.25">
      <c r="A166" s="58"/>
      <c r="B166" s="163" t="s">
        <v>313</v>
      </c>
      <c r="C166" s="58"/>
      <c r="D166" s="59"/>
      <c r="E166" s="60">
        <f>E167*E168</f>
        <v>21000</v>
      </c>
      <c r="F166" s="60">
        <f t="shared" ref="F166:H166" si="62">F167*F168</f>
        <v>0</v>
      </c>
      <c r="G166" s="60">
        <f t="shared" si="62"/>
        <v>0</v>
      </c>
      <c r="H166" s="60">
        <f t="shared" si="62"/>
        <v>0</v>
      </c>
    </row>
    <row r="167" spans="1:12" s="5" customFormat="1" x14ac:dyDescent="0.25">
      <c r="B167" s="47" t="s">
        <v>166</v>
      </c>
      <c r="D167" s="36"/>
      <c r="E167" s="52">
        <f>'Rates and GI'!D41</f>
        <v>10500</v>
      </c>
      <c r="F167" s="52"/>
      <c r="G167" s="52"/>
      <c r="H167" s="52"/>
      <c r="I167" s="6"/>
      <c r="J167" s="6"/>
      <c r="K167" s="6"/>
      <c r="L167" s="6"/>
    </row>
    <row r="168" spans="1:12" s="5" customFormat="1" x14ac:dyDescent="0.25">
      <c r="B168" s="47" t="s">
        <v>165</v>
      </c>
      <c r="D168" s="36"/>
      <c r="E168" s="52">
        <v>2</v>
      </c>
      <c r="F168" s="52">
        <v>0</v>
      </c>
      <c r="G168" s="52">
        <v>0</v>
      </c>
      <c r="H168" s="52">
        <v>0</v>
      </c>
      <c r="I168" s="6"/>
      <c r="J168" s="6"/>
      <c r="K168" s="6"/>
      <c r="L168" s="6"/>
    </row>
    <row r="169" spans="1:12" x14ac:dyDescent="0.25">
      <c r="D169" s="36"/>
      <c r="E169" s="36"/>
      <c r="F169" s="36"/>
      <c r="G169" s="29"/>
      <c r="H169" s="29"/>
    </row>
    <row r="170" spans="1:12" hidden="1" x14ac:dyDescent="0.25">
      <c r="A170" s="58"/>
      <c r="B170" s="58" t="s">
        <v>25</v>
      </c>
      <c r="C170" s="58"/>
      <c r="D170" s="59"/>
      <c r="E170" s="59"/>
      <c r="F170" s="59"/>
      <c r="G170" s="59"/>
      <c r="H170" s="59"/>
    </row>
    <row r="171" spans="1:12" s="5" customFormat="1" hidden="1" x14ac:dyDescent="0.25">
      <c r="B171" s="47" t="s">
        <v>64</v>
      </c>
      <c r="D171" s="36"/>
      <c r="E171" s="52"/>
      <c r="F171" s="52"/>
      <c r="G171" s="44"/>
      <c r="H171" s="44"/>
      <c r="I171" s="6"/>
      <c r="J171" s="6"/>
      <c r="K171" s="6"/>
      <c r="L171" s="6"/>
    </row>
    <row r="172" spans="1:12" s="5" customFormat="1" hidden="1" x14ac:dyDescent="0.25">
      <c r="B172" s="47" t="s">
        <v>63</v>
      </c>
      <c r="D172" s="36"/>
      <c r="E172" s="52"/>
      <c r="F172" s="52"/>
      <c r="G172" s="44"/>
      <c r="H172" s="44"/>
      <c r="I172" s="6"/>
      <c r="J172" s="6"/>
      <c r="K172" s="6"/>
      <c r="L172" s="6"/>
    </row>
    <row r="173" spans="1:12" s="5" customFormat="1" hidden="1" x14ac:dyDescent="0.25">
      <c r="B173" s="47" t="s">
        <v>65</v>
      </c>
      <c r="D173" s="36"/>
      <c r="E173" s="52"/>
      <c r="F173" s="52"/>
      <c r="G173" s="44"/>
      <c r="H173" s="44"/>
      <c r="I173" s="6"/>
      <c r="J173" s="6"/>
      <c r="K173" s="6"/>
      <c r="L173" s="6"/>
    </row>
    <row r="174" spans="1:12" s="5" customFormat="1" hidden="1" x14ac:dyDescent="0.25">
      <c r="B174" s="5" t="s">
        <v>173</v>
      </c>
      <c r="D174" s="36"/>
      <c r="E174" s="52">
        <f>E175+E176*E177</f>
        <v>0</v>
      </c>
      <c r="F174" s="52">
        <f t="shared" ref="F174:H174" si="63">F175+F176*F177</f>
        <v>0</v>
      </c>
      <c r="G174" s="52">
        <f t="shared" si="63"/>
        <v>0</v>
      </c>
      <c r="H174" s="52">
        <f t="shared" si="63"/>
        <v>0</v>
      </c>
    </row>
    <row r="175" spans="1:12" hidden="1" x14ac:dyDescent="0.25">
      <c r="B175" s="47" t="s">
        <v>220</v>
      </c>
      <c r="D175" s="36"/>
      <c r="E175" s="52"/>
      <c r="F175" s="52">
        <f>'Rates and GI'!D56*0</f>
        <v>0</v>
      </c>
      <c r="G175" s="44"/>
      <c r="H175" s="44"/>
    </row>
    <row r="176" spans="1:12" hidden="1" x14ac:dyDescent="0.25">
      <c r="B176" s="47" t="s">
        <v>178</v>
      </c>
      <c r="D176" s="36"/>
      <c r="E176" s="68">
        <f>'Rates and GI'!$D$59</f>
        <v>0.02</v>
      </c>
      <c r="F176" s="68">
        <f>'Rates and GI'!$D$59</f>
        <v>0.02</v>
      </c>
      <c r="G176" s="68">
        <f>'Rates and GI'!$D$59</f>
        <v>0.02</v>
      </c>
      <c r="H176" s="68">
        <f>'Rates and GI'!$D$59</f>
        <v>0.02</v>
      </c>
    </row>
    <row r="177" spans="1:12" hidden="1" x14ac:dyDescent="0.25">
      <c r="B177" s="47" t="s">
        <v>179</v>
      </c>
      <c r="D177" s="36"/>
      <c r="E177" s="52">
        <v>0</v>
      </c>
      <c r="F177" s="52">
        <v>0</v>
      </c>
      <c r="G177" s="52">
        <v>0</v>
      </c>
      <c r="H177" s="52">
        <v>0</v>
      </c>
    </row>
    <row r="178" spans="1:12" s="5" customFormat="1" hidden="1" x14ac:dyDescent="0.25">
      <c r="B178" s="47"/>
      <c r="D178" s="36"/>
      <c r="E178" s="52"/>
      <c r="F178" s="52"/>
      <c r="G178" s="44"/>
      <c r="H178" s="44"/>
      <c r="I178" s="6"/>
      <c r="J178" s="6"/>
      <c r="K178" s="6"/>
      <c r="L178" s="6"/>
    </row>
    <row r="179" spans="1:12" x14ac:dyDescent="0.25">
      <c r="A179" s="58"/>
      <c r="B179" s="58" t="s">
        <v>241</v>
      </c>
      <c r="C179" s="58"/>
      <c r="D179" s="59"/>
      <c r="E179" s="60">
        <f>E180+E188</f>
        <v>21780.32</v>
      </c>
      <c r="F179" s="60">
        <f t="shared" ref="F179:H179" si="64">F180+F188</f>
        <v>65340.959999999999</v>
      </c>
      <c r="G179" s="60">
        <f t="shared" si="64"/>
        <v>65340.959999999999</v>
      </c>
      <c r="H179" s="60">
        <f t="shared" si="64"/>
        <v>65340.959999999999</v>
      </c>
      <c r="I179" s="70"/>
    </row>
    <row r="180" spans="1:12" x14ac:dyDescent="0.25">
      <c r="B180" s="5" t="s">
        <v>278</v>
      </c>
      <c r="D180" s="36"/>
      <c r="E180" s="52">
        <f>SUM(E183:E186)</f>
        <v>19780.32</v>
      </c>
      <c r="F180" s="52">
        <f t="shared" ref="F180:H180" si="65">SUM(F183:F186)</f>
        <v>59340.959999999999</v>
      </c>
      <c r="G180" s="52">
        <f t="shared" si="65"/>
        <v>59340.959999999999</v>
      </c>
      <c r="H180" s="52">
        <f t="shared" si="65"/>
        <v>59340.959999999999</v>
      </c>
      <c r="I180" s="70"/>
    </row>
    <row r="181" spans="1:12" x14ac:dyDescent="0.25">
      <c r="B181" s="47" t="s">
        <v>238</v>
      </c>
      <c r="C181" s="5" t="s">
        <v>56</v>
      </c>
      <c r="D181" s="36"/>
      <c r="E181" s="52">
        <f>$E$144</f>
        <v>1218</v>
      </c>
      <c r="F181" s="52">
        <f t="shared" ref="F181:H181" si="66">$E$144</f>
        <v>1218</v>
      </c>
      <c r="G181" s="52">
        <f t="shared" si="66"/>
        <v>1218</v>
      </c>
      <c r="H181" s="52">
        <f t="shared" si="66"/>
        <v>1218</v>
      </c>
      <c r="I181" s="70"/>
    </row>
    <row r="182" spans="1:12" x14ac:dyDescent="0.25">
      <c r="B182" s="47" t="s">
        <v>40</v>
      </c>
      <c r="D182" s="36"/>
      <c r="E182" s="52">
        <v>4</v>
      </c>
      <c r="F182" s="52">
        <v>12</v>
      </c>
      <c r="G182" s="52">
        <v>12</v>
      </c>
      <c r="H182" s="52">
        <v>12</v>
      </c>
      <c r="I182" s="70"/>
    </row>
    <row r="183" spans="1:12" s="5" customFormat="1" x14ac:dyDescent="0.25">
      <c r="B183" s="47" t="s">
        <v>237</v>
      </c>
      <c r="D183" s="36"/>
      <c r="E183" s="52">
        <f>'Rates and GI'!$D$47/500*E181*E182</f>
        <v>12472.32</v>
      </c>
      <c r="F183" s="52">
        <f>'Rates and GI'!$D$47/500*F181*F182</f>
        <v>37416.959999999999</v>
      </c>
      <c r="G183" s="52">
        <f>'Rates and GI'!$D$47/500*G181*G182</f>
        <v>37416.959999999999</v>
      </c>
      <c r="H183" s="52">
        <f>'Rates and GI'!$D$47/500*H181*H182</f>
        <v>37416.959999999999</v>
      </c>
      <c r="I183" s="70"/>
      <c r="J183" s="6"/>
      <c r="K183" s="6"/>
      <c r="L183" s="6"/>
    </row>
    <row r="184" spans="1:12" s="5" customFormat="1" x14ac:dyDescent="0.25">
      <c r="B184" s="47" t="s">
        <v>18</v>
      </c>
      <c r="D184" s="36"/>
      <c r="E184" s="52">
        <f>'Rates and GI'!$D$48/500*E181*E182</f>
        <v>2923.2</v>
      </c>
      <c r="F184" s="52">
        <f>'Rates and GI'!$D$48/500*F181*F182</f>
        <v>8769.5999999999985</v>
      </c>
      <c r="G184" s="52">
        <f>'Rates and GI'!$D$48/500*G181*G182</f>
        <v>8769.5999999999985</v>
      </c>
      <c r="H184" s="52">
        <f>'Rates and GI'!$D$48/500*H181*H182</f>
        <v>8769.5999999999985</v>
      </c>
      <c r="I184" s="70"/>
      <c r="J184" s="6"/>
      <c r="K184" s="6"/>
      <c r="L184" s="6"/>
    </row>
    <row r="185" spans="1:12" s="5" customFormat="1" x14ac:dyDescent="0.25">
      <c r="B185" s="47" t="s">
        <v>19</v>
      </c>
      <c r="D185" s="36"/>
      <c r="E185" s="52">
        <f>'Rates and GI'!$D$49/500*E181*E182</f>
        <v>2436</v>
      </c>
      <c r="F185" s="52">
        <f>'Rates and GI'!$D$49/500*F181*F182</f>
        <v>7308</v>
      </c>
      <c r="G185" s="52">
        <f>'Rates and GI'!$D$49/500*G181*G182</f>
        <v>7308</v>
      </c>
      <c r="H185" s="52">
        <f>'Rates and GI'!$D$49/500*H181*H182</f>
        <v>7308</v>
      </c>
      <c r="I185" s="70"/>
      <c r="J185" s="6"/>
      <c r="K185" s="6"/>
      <c r="L185" s="6"/>
    </row>
    <row r="186" spans="1:12" s="5" customFormat="1" x14ac:dyDescent="0.25">
      <c r="B186" s="47" t="s">
        <v>22</v>
      </c>
      <c r="D186" s="36"/>
      <c r="E186" s="52">
        <f>'Rates and GI'!$D$50/500*E181*E182</f>
        <v>1948.8000000000002</v>
      </c>
      <c r="F186" s="52">
        <f>'Rates and GI'!$D$50/500*F181*F182</f>
        <v>5846.4000000000005</v>
      </c>
      <c r="G186" s="52">
        <f>'Rates and GI'!$D$50/500*G181*G182</f>
        <v>5846.4000000000005</v>
      </c>
      <c r="H186" s="52">
        <f>'Rates and GI'!$D$50/500*H181*H182</f>
        <v>5846.4000000000005</v>
      </c>
      <c r="I186" s="70"/>
      <c r="J186" s="6"/>
      <c r="K186" s="6"/>
      <c r="L186" s="6"/>
    </row>
    <row r="187" spans="1:12" s="5" customFormat="1" x14ac:dyDescent="0.25">
      <c r="B187" s="47"/>
      <c r="D187" s="36"/>
      <c r="E187" s="36"/>
      <c r="F187" s="36"/>
      <c r="G187" s="29"/>
      <c r="H187" s="29"/>
      <c r="I187" s="6"/>
      <c r="J187" s="6"/>
      <c r="K187" s="6"/>
      <c r="L187" s="6"/>
    </row>
    <row r="188" spans="1:12" s="5" customFormat="1" x14ac:dyDescent="0.25">
      <c r="B188" s="5" t="s">
        <v>13</v>
      </c>
      <c r="D188" s="36"/>
      <c r="E188" s="52">
        <f>E189*E190/12*E182</f>
        <v>2000</v>
      </c>
      <c r="F188" s="52">
        <f t="shared" ref="F188:H188" si="67">F189*F190</f>
        <v>6000</v>
      </c>
      <c r="G188" s="52">
        <f t="shared" si="67"/>
        <v>6000</v>
      </c>
      <c r="H188" s="52">
        <f t="shared" si="67"/>
        <v>6000</v>
      </c>
      <c r="I188" s="6"/>
      <c r="J188" s="6"/>
      <c r="K188" s="6"/>
      <c r="L188" s="6"/>
    </row>
    <row r="189" spans="1:12" s="5" customFormat="1" x14ac:dyDescent="0.25">
      <c r="B189" s="47" t="s">
        <v>239</v>
      </c>
      <c r="D189" s="36"/>
      <c r="E189" s="52">
        <v>2</v>
      </c>
      <c r="F189" s="52">
        <v>2</v>
      </c>
      <c r="G189" s="52">
        <v>2</v>
      </c>
      <c r="H189" s="52">
        <v>2</v>
      </c>
      <c r="I189" s="6"/>
      <c r="J189" s="6"/>
      <c r="K189" s="6"/>
      <c r="L189" s="6"/>
    </row>
    <row r="190" spans="1:12" s="5" customFormat="1" x14ac:dyDescent="0.25">
      <c r="B190" s="47" t="s">
        <v>242</v>
      </c>
      <c r="C190" s="78"/>
      <c r="D190" s="36"/>
      <c r="E190" s="52">
        <f>'Rates and GI'!$D$51</f>
        <v>3000</v>
      </c>
      <c r="F190" s="52">
        <f>'Rates and GI'!$D$51</f>
        <v>3000</v>
      </c>
      <c r="G190" s="52">
        <f>'Rates and GI'!$D$51</f>
        <v>3000</v>
      </c>
      <c r="H190" s="52">
        <f>'Rates and GI'!$D$51</f>
        <v>3000</v>
      </c>
      <c r="I190" s="6"/>
      <c r="J190" s="6"/>
      <c r="K190" s="6"/>
      <c r="L190" s="6"/>
    </row>
    <row r="191" spans="1:12" s="5" customFormat="1" x14ac:dyDescent="0.25">
      <c r="B191" s="47"/>
      <c r="D191" s="36"/>
      <c r="E191" s="36"/>
      <c r="F191" s="36"/>
      <c r="G191" s="29"/>
      <c r="H191" s="29"/>
      <c r="I191" s="6"/>
      <c r="J191" s="6"/>
      <c r="K191" s="6"/>
      <c r="L191" s="6"/>
    </row>
    <row r="192" spans="1:12" x14ac:dyDescent="0.25">
      <c r="A192" s="58"/>
      <c r="B192" s="58" t="s">
        <v>21</v>
      </c>
      <c r="C192" s="58"/>
      <c r="D192" s="59"/>
      <c r="E192" s="60">
        <f>E193*E194+E195*E196++E197*E198+E199*E200</f>
        <v>1200</v>
      </c>
      <c r="F192" s="60">
        <f t="shared" ref="F192:H192" si="68">F193*F194+F195*F196++F197*F198+F199*F200</f>
        <v>2600</v>
      </c>
      <c r="G192" s="60">
        <f t="shared" si="68"/>
        <v>2600</v>
      </c>
      <c r="H192" s="60">
        <f t="shared" si="68"/>
        <v>2600</v>
      </c>
    </row>
    <row r="193" spans="1:12" x14ac:dyDescent="0.25">
      <c r="B193" s="47" t="s">
        <v>169</v>
      </c>
      <c r="D193" s="36"/>
      <c r="E193" s="52"/>
      <c r="F193" s="52"/>
      <c r="G193" s="52">
        <v>0</v>
      </c>
      <c r="H193" s="52"/>
    </row>
    <row r="194" spans="1:12" x14ac:dyDescent="0.25">
      <c r="B194" s="47" t="s">
        <v>170</v>
      </c>
      <c r="D194" s="36"/>
      <c r="E194" s="52">
        <f>'Rates and GI'!$D$69</f>
        <v>5000</v>
      </c>
      <c r="F194" s="52">
        <f>'Rates and GI'!$D$69</f>
        <v>5000</v>
      </c>
      <c r="G194" s="52">
        <f>'Rates and GI'!$D$69</f>
        <v>5000</v>
      </c>
      <c r="H194" s="52">
        <f>'Rates and GI'!$D$69</f>
        <v>5000</v>
      </c>
    </row>
    <row r="195" spans="1:12" x14ac:dyDescent="0.25">
      <c r="B195" s="47" t="s">
        <v>167</v>
      </c>
      <c r="D195" s="36"/>
      <c r="E195" s="52"/>
      <c r="F195" s="52">
        <v>0</v>
      </c>
      <c r="G195" s="52">
        <v>0</v>
      </c>
      <c r="H195" s="52">
        <v>0</v>
      </c>
    </row>
    <row r="196" spans="1:12" x14ac:dyDescent="0.25">
      <c r="B196" s="47" t="s">
        <v>168</v>
      </c>
      <c r="D196" s="36"/>
      <c r="E196" s="52">
        <f>'Rates and GI'!$D$70</f>
        <v>1500</v>
      </c>
      <c r="F196" s="52">
        <f>'Rates and GI'!$D$70</f>
        <v>1500</v>
      </c>
      <c r="G196" s="52">
        <f>'Rates and GI'!$D$70</f>
        <v>1500</v>
      </c>
      <c r="H196" s="52">
        <f>'Rates and GI'!$D$70</f>
        <v>1500</v>
      </c>
    </row>
    <row r="197" spans="1:12" ht="27" x14ac:dyDescent="0.25">
      <c r="B197" s="71" t="s">
        <v>183</v>
      </c>
      <c r="D197" s="36"/>
      <c r="E197" s="52">
        <v>6</v>
      </c>
      <c r="F197" s="52">
        <v>8</v>
      </c>
      <c r="G197" s="52">
        <v>8</v>
      </c>
      <c r="H197" s="52">
        <v>8</v>
      </c>
    </row>
    <row r="198" spans="1:12" ht="27" x14ac:dyDescent="0.25">
      <c r="B198" s="71" t="s">
        <v>182</v>
      </c>
      <c r="D198" s="36"/>
      <c r="E198" s="52">
        <f>'Rates and GI'!$D$71</f>
        <v>200</v>
      </c>
      <c r="F198" s="52">
        <f>'Rates and GI'!$D$71</f>
        <v>200</v>
      </c>
      <c r="G198" s="52">
        <f>'Rates and GI'!$D$71</f>
        <v>200</v>
      </c>
      <c r="H198" s="52">
        <f>'Rates and GI'!$D$71</f>
        <v>200</v>
      </c>
    </row>
    <row r="199" spans="1:12" s="5" customFormat="1" x14ac:dyDescent="0.25">
      <c r="B199" s="47" t="s">
        <v>354</v>
      </c>
      <c r="D199" s="36"/>
      <c r="E199" s="52">
        <v>0</v>
      </c>
      <c r="F199" s="52">
        <v>20</v>
      </c>
      <c r="G199" s="52">
        <v>20</v>
      </c>
      <c r="H199" s="52">
        <v>20</v>
      </c>
      <c r="I199" s="6"/>
      <c r="J199" s="6"/>
      <c r="K199" s="6"/>
      <c r="L199" s="6"/>
    </row>
    <row r="200" spans="1:12" s="5" customFormat="1" x14ac:dyDescent="0.25">
      <c r="B200" s="47" t="s">
        <v>349</v>
      </c>
      <c r="D200" s="36"/>
      <c r="E200" s="52">
        <f>'Rates and GI'!$D$72</f>
        <v>50</v>
      </c>
      <c r="F200" s="52">
        <f>'Rates and GI'!$D$72</f>
        <v>50</v>
      </c>
      <c r="G200" s="52">
        <f>'Rates and GI'!$D$72</f>
        <v>50</v>
      </c>
      <c r="H200" s="52">
        <f>'Rates and GI'!$D$72</f>
        <v>50</v>
      </c>
      <c r="I200" s="6"/>
      <c r="J200" s="6"/>
      <c r="K200" s="6"/>
      <c r="L200" s="6"/>
    </row>
    <row r="201" spans="1:12" x14ac:dyDescent="0.25">
      <c r="D201" s="36"/>
      <c r="E201" s="36"/>
      <c r="F201" s="36"/>
      <c r="G201" s="29"/>
      <c r="H201" s="29"/>
    </row>
    <row r="202" spans="1:12" hidden="1" x14ac:dyDescent="0.25">
      <c r="A202" s="58"/>
      <c r="B202" s="58" t="s">
        <v>218</v>
      </c>
      <c r="C202" s="58"/>
      <c r="D202" s="60"/>
      <c r="E202" s="60">
        <f>E203+E206+E209+E218+E223</f>
        <v>0</v>
      </c>
      <c r="F202" s="60">
        <f t="shared" ref="F202:H202" si="69">F203+F206+F209+F218+F223</f>
        <v>0</v>
      </c>
      <c r="G202" s="60">
        <f t="shared" si="69"/>
        <v>0</v>
      </c>
      <c r="H202" s="60">
        <f t="shared" si="69"/>
        <v>0</v>
      </c>
    </row>
    <row r="203" spans="1:12" s="5" customFormat="1" hidden="1" x14ac:dyDescent="0.25">
      <c r="B203" s="5" t="s">
        <v>197</v>
      </c>
      <c r="D203" s="52"/>
      <c r="E203" s="52">
        <f>E204+E207*E208</f>
        <v>0</v>
      </c>
      <c r="F203" s="52">
        <f>F204+F207*F208</f>
        <v>0</v>
      </c>
      <c r="G203" s="52">
        <f>G204+G207*G208</f>
        <v>0</v>
      </c>
      <c r="H203" s="52">
        <f t="shared" ref="H203" si="70">H204+H207*H208</f>
        <v>0</v>
      </c>
    </row>
    <row r="204" spans="1:12" hidden="1" x14ac:dyDescent="0.25">
      <c r="B204" s="47" t="s">
        <v>208</v>
      </c>
      <c r="D204" s="52"/>
      <c r="E204" s="52"/>
      <c r="F204" s="52">
        <f>('Rates and GI'!$D$56+'Rates and GI'!$D$60)*0</f>
        <v>0</v>
      </c>
      <c r="G204" s="52">
        <f>('Rates and GI'!$D$56+'Rates and GI'!$D$60)*0</f>
        <v>0</v>
      </c>
      <c r="H204" s="52"/>
    </row>
    <row r="205" spans="1:12" hidden="1" x14ac:dyDescent="0.25">
      <c r="B205" s="47" t="s">
        <v>211</v>
      </c>
      <c r="D205" s="52"/>
      <c r="E205" s="52"/>
      <c r="F205" s="52">
        <f>'Rates and GI'!$D$62*0</f>
        <v>0</v>
      </c>
      <c r="G205" s="52">
        <f>'Rates and GI'!$D$62*0</f>
        <v>0</v>
      </c>
      <c r="H205" s="52"/>
    </row>
    <row r="206" spans="1:12" hidden="1" x14ac:dyDescent="0.25">
      <c r="B206" s="5" t="s">
        <v>198</v>
      </c>
      <c r="D206" s="52"/>
      <c r="E206" s="52">
        <f>E207*E208</f>
        <v>0</v>
      </c>
      <c r="F206" s="52">
        <f t="shared" ref="F206:H206" si="71">F207*F208</f>
        <v>0</v>
      </c>
      <c r="G206" s="52">
        <f t="shared" si="71"/>
        <v>0</v>
      </c>
      <c r="H206" s="52">
        <f t="shared" si="71"/>
        <v>0</v>
      </c>
    </row>
    <row r="207" spans="1:12" hidden="1" x14ac:dyDescent="0.25">
      <c r="B207" s="47" t="s">
        <v>186</v>
      </c>
      <c r="D207" s="52"/>
      <c r="E207" s="52"/>
      <c r="F207" s="52">
        <f>'Rates and GI'!$D$65</f>
        <v>24.1465</v>
      </c>
      <c r="G207" s="52">
        <f>'Rates and GI'!$D$65</f>
        <v>24.1465</v>
      </c>
      <c r="H207" s="52">
        <f>'Rates and GI'!$D$65</f>
        <v>24.1465</v>
      </c>
    </row>
    <row r="208" spans="1:12" hidden="1" x14ac:dyDescent="0.25">
      <c r="B208" s="47" t="s">
        <v>185</v>
      </c>
      <c r="D208" s="52"/>
      <c r="E208" s="52"/>
      <c r="F208" s="52">
        <v>0</v>
      </c>
      <c r="G208" s="52">
        <v>0</v>
      </c>
      <c r="H208" s="52">
        <v>0</v>
      </c>
    </row>
    <row r="209" spans="2:8" hidden="1" x14ac:dyDescent="0.25">
      <c r="B209" s="5" t="s">
        <v>199</v>
      </c>
      <c r="D209" s="52"/>
      <c r="E209" s="52">
        <f>E210+E214</f>
        <v>0</v>
      </c>
      <c r="F209" s="52">
        <f t="shared" ref="F209:H209" si="72">F210+F214</f>
        <v>0</v>
      </c>
      <c r="G209" s="52">
        <f t="shared" si="72"/>
        <v>0</v>
      </c>
      <c r="H209" s="52">
        <f t="shared" si="72"/>
        <v>0</v>
      </c>
    </row>
    <row r="210" spans="2:8" hidden="1" x14ac:dyDescent="0.25">
      <c r="B210" s="47" t="s">
        <v>213</v>
      </c>
      <c r="D210" s="52"/>
      <c r="E210" s="52">
        <f>E211*E212</f>
        <v>0</v>
      </c>
      <c r="F210" s="52">
        <f t="shared" ref="F210:H210" si="73">F211*F212</f>
        <v>0</v>
      </c>
      <c r="G210" s="52">
        <f t="shared" si="73"/>
        <v>0</v>
      </c>
      <c r="H210" s="52">
        <f t="shared" si="73"/>
        <v>0</v>
      </c>
    </row>
    <row r="211" spans="2:8" hidden="1" x14ac:dyDescent="0.25">
      <c r="B211" s="47" t="s">
        <v>200</v>
      </c>
      <c r="C211" s="5" t="s">
        <v>201</v>
      </c>
      <c r="D211" s="52"/>
      <c r="E211" s="52">
        <v>0</v>
      </c>
      <c r="F211" s="52">
        <v>0</v>
      </c>
      <c r="G211" s="52">
        <v>0</v>
      </c>
      <c r="H211" s="52">
        <v>0</v>
      </c>
    </row>
    <row r="212" spans="2:8" hidden="1" x14ac:dyDescent="0.25">
      <c r="B212" s="47" t="s">
        <v>202</v>
      </c>
      <c r="D212" s="52"/>
      <c r="E212" s="52">
        <f>'Rates and GI'!$D$63</f>
        <v>150</v>
      </c>
      <c r="F212" s="52">
        <f>'Rates and GI'!$D$63</f>
        <v>150</v>
      </c>
      <c r="G212" s="52">
        <f>'Rates and GI'!$D$63</f>
        <v>150</v>
      </c>
      <c r="H212" s="52">
        <f>'Rates and GI'!$D$63</f>
        <v>150</v>
      </c>
    </row>
    <row r="213" spans="2:8" hidden="1" x14ac:dyDescent="0.25">
      <c r="B213" s="6"/>
      <c r="D213" s="52"/>
      <c r="E213" s="52"/>
      <c r="F213" s="52"/>
      <c r="G213" s="44"/>
      <c r="H213" s="44"/>
    </row>
    <row r="214" spans="2:8" hidden="1" x14ac:dyDescent="0.25">
      <c r="B214" s="47" t="s">
        <v>214</v>
      </c>
      <c r="D214" s="52"/>
      <c r="E214" s="52">
        <f>E215*E216</f>
        <v>0</v>
      </c>
      <c r="F214" s="52">
        <f t="shared" ref="F214:H214" si="74">F215*F216</f>
        <v>0</v>
      </c>
      <c r="G214" s="52">
        <f t="shared" si="74"/>
        <v>0</v>
      </c>
      <c r="H214" s="52">
        <f t="shared" si="74"/>
        <v>0</v>
      </c>
    </row>
    <row r="215" spans="2:8" hidden="1" x14ac:dyDescent="0.25">
      <c r="B215" s="47" t="s">
        <v>200</v>
      </c>
      <c r="C215" s="5" t="s">
        <v>201</v>
      </c>
      <c r="D215" s="52"/>
      <c r="E215" s="52">
        <v>0</v>
      </c>
      <c r="F215" s="52">
        <v>0</v>
      </c>
      <c r="G215" s="52">
        <v>0</v>
      </c>
      <c r="H215" s="52">
        <v>0</v>
      </c>
    </row>
    <row r="216" spans="2:8" hidden="1" x14ac:dyDescent="0.25">
      <c r="B216" s="47" t="s">
        <v>202</v>
      </c>
      <c r="D216" s="52"/>
      <c r="E216" s="52">
        <f>'Rates and GI'!$D$64</f>
        <v>20</v>
      </c>
      <c r="F216" s="52">
        <f>'Rates and GI'!$D$64</f>
        <v>20</v>
      </c>
      <c r="G216" s="52">
        <f>'Rates and GI'!$D$64</f>
        <v>20</v>
      </c>
      <c r="H216" s="52">
        <f>'Rates and GI'!$D$64</f>
        <v>20</v>
      </c>
    </row>
    <row r="217" spans="2:8" hidden="1" x14ac:dyDescent="0.25">
      <c r="B217" s="6"/>
      <c r="D217" s="52"/>
      <c r="E217" s="52"/>
      <c r="F217" s="52"/>
      <c r="G217" s="44"/>
      <c r="H217" s="44"/>
    </row>
    <row r="218" spans="2:8" hidden="1" x14ac:dyDescent="0.25">
      <c r="B218" s="5" t="s">
        <v>203</v>
      </c>
      <c r="D218" s="52"/>
      <c r="E218" s="52">
        <f>E219*E220*E221</f>
        <v>0</v>
      </c>
      <c r="F218" s="52">
        <f t="shared" ref="F218:H218" si="75">F219*F220*F221</f>
        <v>0</v>
      </c>
      <c r="G218" s="52">
        <f t="shared" si="75"/>
        <v>0</v>
      </c>
      <c r="H218" s="52">
        <f t="shared" si="75"/>
        <v>0</v>
      </c>
    </row>
    <row r="219" spans="2:8" hidden="1" x14ac:dyDescent="0.25">
      <c r="B219" s="47" t="s">
        <v>215</v>
      </c>
      <c r="D219" s="52"/>
      <c r="E219" s="52"/>
      <c r="F219" s="52">
        <f>'Rates and GI'!$D$66</f>
        <v>300</v>
      </c>
      <c r="G219" s="52">
        <f>'Rates and GI'!$D$66</f>
        <v>300</v>
      </c>
      <c r="H219" s="52">
        <f>'Rates and GI'!$D$66</f>
        <v>300</v>
      </c>
    </row>
    <row r="220" spans="2:8" hidden="1" x14ac:dyDescent="0.25">
      <c r="B220" s="47" t="s">
        <v>216</v>
      </c>
      <c r="D220" s="52"/>
      <c r="E220" s="52">
        <v>0</v>
      </c>
      <c r="F220" s="52">
        <v>0</v>
      </c>
      <c r="G220" s="52">
        <v>0</v>
      </c>
      <c r="H220" s="52">
        <v>0</v>
      </c>
    </row>
    <row r="221" spans="2:8" hidden="1" x14ac:dyDescent="0.25">
      <c r="B221" s="47" t="s">
        <v>217</v>
      </c>
      <c r="D221" s="52"/>
      <c r="E221" s="52">
        <v>0</v>
      </c>
      <c r="F221" s="52">
        <v>0</v>
      </c>
      <c r="G221" s="52">
        <v>0</v>
      </c>
      <c r="H221" s="52">
        <v>0</v>
      </c>
    </row>
    <row r="222" spans="2:8" hidden="1" x14ac:dyDescent="0.25">
      <c r="D222" s="52"/>
      <c r="E222" s="52"/>
      <c r="F222" s="52"/>
      <c r="G222" s="44"/>
      <c r="H222" s="44"/>
    </row>
    <row r="223" spans="2:8" hidden="1" x14ac:dyDescent="0.25">
      <c r="B223" s="5" t="s">
        <v>196</v>
      </c>
      <c r="D223" s="52"/>
      <c r="E223" s="52">
        <f>E224+E225*E226</f>
        <v>0</v>
      </c>
      <c r="F223" s="52">
        <f>F224+F225*F226</f>
        <v>0</v>
      </c>
      <c r="G223" s="52">
        <f>G224+G225*G226</f>
        <v>0</v>
      </c>
      <c r="H223" s="52">
        <f>H224+H225*H226</f>
        <v>0</v>
      </c>
    </row>
    <row r="224" spans="2:8" hidden="1" x14ac:dyDescent="0.25">
      <c r="B224" s="47" t="s">
        <v>172</v>
      </c>
      <c r="D224" s="52"/>
      <c r="E224" s="52"/>
      <c r="F224" s="52">
        <f>'Rates and GI'!D57*0</f>
        <v>0</v>
      </c>
      <c r="G224" s="44"/>
      <c r="H224" s="44"/>
    </row>
    <row r="225" spans="1:8" hidden="1" x14ac:dyDescent="0.25">
      <c r="B225" s="47" t="s">
        <v>178</v>
      </c>
      <c r="D225" s="52"/>
      <c r="E225" s="52"/>
      <c r="F225" s="75">
        <f>'Rates and GI'!$D$58</f>
        <v>0.05</v>
      </c>
      <c r="G225" s="75">
        <f>'Rates and GI'!$D$58</f>
        <v>0.05</v>
      </c>
      <c r="H225" s="75">
        <f>'Rates and GI'!$D$58</f>
        <v>0.05</v>
      </c>
    </row>
    <row r="226" spans="1:8" hidden="1" x14ac:dyDescent="0.25">
      <c r="B226" s="47" t="s">
        <v>179</v>
      </c>
      <c r="D226" s="52"/>
      <c r="E226" s="52"/>
      <c r="F226" s="52">
        <v>0</v>
      </c>
      <c r="G226" s="44">
        <v>0</v>
      </c>
      <c r="H226" s="44"/>
    </row>
    <row r="227" spans="1:8" x14ac:dyDescent="0.25">
      <c r="A227" s="58"/>
      <c r="B227" s="58"/>
      <c r="C227" s="58"/>
      <c r="D227" s="60"/>
      <c r="E227" s="60"/>
      <c r="F227" s="60"/>
      <c r="G227" s="60"/>
      <c r="H227" s="60"/>
    </row>
    <row r="228" spans="1:8" x14ac:dyDescent="0.25">
      <c r="D228" s="36"/>
      <c r="E228" s="36"/>
      <c r="F228" s="36"/>
      <c r="G228" s="29"/>
      <c r="H228" s="29"/>
    </row>
  </sheetData>
  <pageMargins left="0.7" right="0.7" top="0.75" bottom="0.75" header="0.3" footer="0.3"/>
  <pageSetup paperSize="9" scale="55" fitToHeight="0" orientation="portrait" horizontalDpi="1200" verticalDpi="1200" r:id="rId1"/>
  <rowBreaks count="1" manualBreakCount="1">
    <brk id="5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180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5" customWidth="1"/>
    <col min="4" max="4" width="14.7109375" style="52" customWidth="1"/>
    <col min="5" max="5" width="12" style="52" bestFit="1" customWidth="1"/>
    <col min="6" max="6" width="10.28515625" style="52" bestFit="1" customWidth="1"/>
    <col min="7" max="7" width="10.28515625" style="44" bestFit="1" customWidth="1"/>
    <col min="8" max="8" width="10.42578125" style="44" bestFit="1" customWidth="1"/>
    <col min="9" max="16384" width="9.140625" style="6"/>
  </cols>
  <sheetData>
    <row r="1" spans="1:12" s="140" customFormat="1" ht="34.5" x14ac:dyDescent="0.3">
      <c r="A1" s="227">
        <v>27</v>
      </c>
      <c r="B1" s="228" t="s">
        <v>254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0</v>
      </c>
      <c r="E5" s="52">
        <f>E67</f>
        <v>0</v>
      </c>
      <c r="F5" s="52">
        <f t="shared" ref="F5:H5" si="1">F67</f>
        <v>0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E71</f>
        <v>0</v>
      </c>
      <c r="F6" s="52">
        <f t="shared" ref="F6:H6" si="2">F71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0</v>
      </c>
      <c r="E7" s="55">
        <f>SUBTOTAL(9,E5:E6)</f>
        <v>0</v>
      </c>
      <c r="F7" s="55">
        <f>SUBTOTAL(9,F5:F6)</f>
        <v>0</v>
      </c>
      <c r="G7" s="55">
        <f>SUBTOTAL(9,G5:G6)</f>
        <v>0</v>
      </c>
      <c r="H7" s="55">
        <f>SUBTOTAL(9,H5:H6)</f>
        <v>0</v>
      </c>
      <c r="I7" s="70"/>
    </row>
    <row r="8" spans="1:12" ht="4.5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4.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4.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3.7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E109</f>
        <v>0</v>
      </c>
      <c r="F25" s="52">
        <f t="shared" ref="F25:H25" si="13">F109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4.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4.5" customHeight="1" x14ac:dyDescent="0.25">
      <c r="A44" s="3"/>
      <c r="B44" s="6"/>
      <c r="C44" s="3"/>
    </row>
    <row r="45" spans="1:12" x14ac:dyDescent="0.25">
      <c r="A45" s="16"/>
      <c r="B45" s="16" t="s">
        <v>429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2"/>
      <c r="D46" s="52">
        <f t="shared" ref="D46" si="20">SUM(E46:H46)</f>
        <v>19317.2</v>
      </c>
      <c r="E46" s="52">
        <f>E178</f>
        <v>3512.2181818181821</v>
      </c>
      <c r="F46" s="52">
        <f t="shared" ref="F46:H46" si="21">F178</f>
        <v>10536.654545454547</v>
      </c>
      <c r="G46" s="44">
        <f t="shared" si="21"/>
        <v>5268.3272727272733</v>
      </c>
      <c r="H46" s="44">
        <f t="shared" si="21"/>
        <v>0</v>
      </c>
    </row>
    <row r="47" spans="1:12" ht="14.25" thickBot="1" x14ac:dyDescent="0.3">
      <c r="A47" s="13"/>
      <c r="B47" s="13" t="s">
        <v>430</v>
      </c>
      <c r="C47" s="13"/>
      <c r="D47" s="55">
        <f>SUBTOTAL(9,D46)</f>
        <v>19317.2</v>
      </c>
      <c r="E47" s="55">
        <f t="shared" ref="E47:H47" si="22">SUBTOTAL(9,E46)</f>
        <v>3512.2181818181821</v>
      </c>
      <c r="F47" s="55">
        <f t="shared" si="22"/>
        <v>10536.654545454547</v>
      </c>
      <c r="G47" s="55">
        <f t="shared" si="22"/>
        <v>5268.3272727272733</v>
      </c>
      <c r="H47" s="55">
        <f t="shared" si="22"/>
        <v>0</v>
      </c>
    </row>
    <row r="48" spans="1:12" ht="4.5" customHeight="1" x14ac:dyDescent="0.25">
      <c r="A48" s="3"/>
      <c r="B48" s="6"/>
      <c r="C48" s="3"/>
    </row>
    <row r="49" spans="1:12" x14ac:dyDescent="0.25">
      <c r="A49" s="16"/>
      <c r="B49" s="16" t="s">
        <v>20</v>
      </c>
      <c r="C49" s="16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3"/>
      <c r="D50" s="52">
        <f t="shared" ref="D50:D51" si="23">SUM(E50:H50)</f>
        <v>28948.79</v>
      </c>
      <c r="E50" s="52">
        <f>E149</f>
        <v>0</v>
      </c>
      <c r="F50" s="52">
        <f t="shared" ref="F50:H50" si="24">F149</f>
        <v>12982.93</v>
      </c>
      <c r="G50" s="52">
        <f t="shared" si="24"/>
        <v>7982.93</v>
      </c>
      <c r="H50" s="52">
        <f t="shared" si="24"/>
        <v>7982.93</v>
      </c>
    </row>
    <row r="51" spans="1:12" x14ac:dyDescent="0.25">
      <c r="A51" s="3"/>
      <c r="B51" s="3" t="s">
        <v>21</v>
      </c>
      <c r="C51" s="3"/>
      <c r="D51" s="52">
        <f t="shared" si="23"/>
        <v>1200</v>
      </c>
      <c r="E51" s="52">
        <f>E139</f>
        <v>0</v>
      </c>
      <c r="F51" s="52">
        <f t="shared" ref="F51:H51" si="25">F139</f>
        <v>400</v>
      </c>
      <c r="G51" s="52">
        <f t="shared" si="25"/>
        <v>400</v>
      </c>
      <c r="H51" s="52">
        <f t="shared" si="25"/>
        <v>400</v>
      </c>
    </row>
    <row r="52" spans="1:12" ht="14.25" thickBot="1" x14ac:dyDescent="0.3">
      <c r="A52" s="13"/>
      <c r="B52" s="13" t="s">
        <v>71</v>
      </c>
      <c r="C52" s="13"/>
      <c r="D52" s="55">
        <f>SUBTOTAL(9,D50:D51)</f>
        <v>30148.79</v>
      </c>
      <c r="E52" s="55">
        <f>SUBTOTAL(9,E50:E51)</f>
        <v>0</v>
      </c>
      <c r="F52" s="55">
        <f>SUBTOTAL(9,F50:F51)</f>
        <v>13382.93</v>
      </c>
      <c r="G52" s="55">
        <f>SUBTOTAL(9,G50:G51)</f>
        <v>8382.93</v>
      </c>
      <c r="H52" s="55">
        <f>SUBTOTAL(9,H50:H51)</f>
        <v>8382.93</v>
      </c>
    </row>
    <row r="53" spans="1:12" ht="4.5" customHeight="1" x14ac:dyDescent="0.25">
      <c r="A53" s="1"/>
      <c r="B53" s="1"/>
      <c r="C53" s="1"/>
    </row>
    <row r="54" spans="1:12" ht="14.25" thickBot="1" x14ac:dyDescent="0.3">
      <c r="A54" s="56"/>
      <c r="B54" s="56" t="s">
        <v>160</v>
      </c>
      <c r="C54" s="56"/>
      <c r="D54" s="57">
        <f>SUBTOTAL(9,D5:D52)</f>
        <v>49465.990000000005</v>
      </c>
      <c r="E54" s="57">
        <f>SUBTOTAL(9,E5:E52)</f>
        <v>3512.2181818181821</v>
      </c>
      <c r="F54" s="57">
        <f>SUBTOTAL(9,F5:F52)</f>
        <v>23919.584545454549</v>
      </c>
      <c r="G54" s="57">
        <f>SUBTOTAL(9,G5:G52)</f>
        <v>13651.257272727275</v>
      </c>
      <c r="H54" s="57">
        <f>SUBTOTAL(9,H5:H52)</f>
        <v>8382.93</v>
      </c>
    </row>
    <row r="55" spans="1:12" ht="14.25" thickBot="1" x14ac:dyDescent="0.3">
      <c r="A55" s="1"/>
      <c r="B55" s="1"/>
      <c r="C55" s="1"/>
      <c r="D55" s="36"/>
      <c r="E55" s="36"/>
      <c r="F55" s="36"/>
      <c r="G55" s="29"/>
      <c r="H55" s="29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  <c r="D57" s="36"/>
      <c r="E57" s="36"/>
      <c r="F57" s="36"/>
      <c r="G57" s="29"/>
      <c r="H57" s="29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D59" s="36"/>
      <c r="E59" s="36"/>
      <c r="F59" s="36"/>
      <c r="G59" s="29"/>
      <c r="H59" s="29"/>
    </row>
    <row r="60" spans="1:12" hidden="1" x14ac:dyDescent="0.25">
      <c r="A60" s="58"/>
      <c r="B60" s="58" t="s">
        <v>0</v>
      </c>
      <c r="C60" s="58"/>
      <c r="D60" s="60"/>
      <c r="E60" s="60"/>
      <c r="F60" s="60"/>
      <c r="G60" s="60"/>
      <c r="H60" s="60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</row>
    <row r="62" spans="1:12" hidden="1" x14ac:dyDescent="0.25">
      <c r="A62" s="9"/>
      <c r="B62" s="9" t="s">
        <v>37</v>
      </c>
      <c r="C62" s="9"/>
      <c r="E62" s="52">
        <v>0</v>
      </c>
      <c r="F62" s="52">
        <v>0</v>
      </c>
      <c r="G62" s="52">
        <v>0</v>
      </c>
      <c r="H62" s="52">
        <v>0</v>
      </c>
    </row>
    <row r="63" spans="1:12" hidden="1" x14ac:dyDescent="0.25">
      <c r="A63" s="9"/>
      <c r="B63" s="9" t="s">
        <v>38</v>
      </c>
      <c r="C63" s="9"/>
      <c r="D63" s="53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</row>
    <row r="64" spans="1:12" hidden="1" x14ac:dyDescent="0.25">
      <c r="A64" s="9"/>
      <c r="B64" s="9" t="s">
        <v>39</v>
      </c>
      <c r="C64" s="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</row>
    <row r="65" spans="1:12" hidden="1" x14ac:dyDescent="0.25">
      <c r="A65" s="9"/>
      <c r="B65" s="9" t="s">
        <v>40</v>
      </c>
      <c r="C65" s="9"/>
      <c r="E65" s="54">
        <v>0</v>
      </c>
      <c r="F65" s="52">
        <v>4</v>
      </c>
      <c r="G65" s="44">
        <v>12</v>
      </c>
      <c r="H65" s="44">
        <v>12</v>
      </c>
    </row>
    <row r="66" spans="1:12" hidden="1" x14ac:dyDescent="0.25">
      <c r="A66" s="9"/>
      <c r="B66" s="9"/>
      <c r="C66" s="9"/>
    </row>
    <row r="67" spans="1:12" hidden="1" x14ac:dyDescent="0.25">
      <c r="B67" s="5" t="s">
        <v>23</v>
      </c>
      <c r="E67" s="52">
        <f>E68*E69</f>
        <v>0</v>
      </c>
      <c r="F67" s="52">
        <f t="shared" ref="F67:H67" si="28">F68*F69</f>
        <v>0</v>
      </c>
      <c r="G67" s="52">
        <f t="shared" si="28"/>
        <v>0</v>
      </c>
      <c r="H67" s="52">
        <f t="shared" si="28"/>
        <v>0</v>
      </c>
      <c r="I67" s="70"/>
    </row>
    <row r="68" spans="1:12" hidden="1" x14ac:dyDescent="0.25">
      <c r="A68" s="9"/>
      <c r="B68" s="9" t="s">
        <v>129</v>
      </c>
      <c r="C68" s="9" t="s">
        <v>128</v>
      </c>
      <c r="E68" s="52">
        <v>0</v>
      </c>
      <c r="F68" s="52">
        <v>0</v>
      </c>
      <c r="G68" s="52">
        <v>0</v>
      </c>
      <c r="H68" s="52">
        <v>0</v>
      </c>
      <c r="I68" s="70"/>
    </row>
    <row r="69" spans="1:12" hidden="1" x14ac:dyDescent="0.25">
      <c r="A69" s="9"/>
      <c r="B69" s="9" t="s">
        <v>41</v>
      </c>
      <c r="C69" s="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hidden="1" x14ac:dyDescent="0.25">
      <c r="I70" s="70"/>
    </row>
    <row r="71" spans="1:12" s="7" customFormat="1" hidden="1" x14ac:dyDescent="0.25">
      <c r="A71" s="5"/>
      <c r="B71" s="5" t="s">
        <v>191</v>
      </c>
      <c r="C71" s="5"/>
      <c r="D71" s="52"/>
      <c r="E71" s="52">
        <f>E72*E73</f>
        <v>0</v>
      </c>
      <c r="F71" s="52">
        <f t="shared" ref="F71:H71" si="29">F72*F73</f>
        <v>0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hidden="1" x14ac:dyDescent="0.25">
      <c r="A72" s="9"/>
      <c r="B72" s="9" t="s">
        <v>193</v>
      </c>
      <c r="C72" s="9" t="s">
        <v>128</v>
      </c>
      <c r="D72" s="52"/>
      <c r="E72" s="52">
        <v>0</v>
      </c>
      <c r="F72" s="52">
        <v>0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hidden="1" x14ac:dyDescent="0.25">
      <c r="A73" s="9"/>
      <c r="B73" s="9" t="s">
        <v>41</v>
      </c>
      <c r="C73" s="9"/>
      <c r="D73" s="52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/>
    <row r="75" spans="1:12" s="7" customFormat="1" hidden="1" x14ac:dyDescent="0.25">
      <c r="A75" s="5"/>
      <c r="B75" s="5" t="s">
        <v>1</v>
      </c>
      <c r="C75" s="5"/>
      <c r="D75" s="52"/>
      <c r="E75" s="52"/>
      <c r="F75" s="52"/>
      <c r="G75" s="44"/>
      <c r="H75" s="44"/>
      <c r="I75" s="6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"/>
      <c r="D76" s="52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"/>
      <c r="D77" s="52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5"/>
      <c r="D85" s="52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"/>
      <c r="D86" s="52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"/>
      <c r="D87" s="52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"/>
      <c r="D89" s="52"/>
      <c r="E89" s="54"/>
      <c r="F89" s="52"/>
      <c r="G89" s="44"/>
      <c r="H89" s="44"/>
      <c r="I89" s="6"/>
      <c r="J89" s="6"/>
      <c r="K89" s="6"/>
      <c r="L89" s="6"/>
    </row>
    <row r="90" spans="1:12" hidden="1" x14ac:dyDescent="0.25"/>
    <row r="91" spans="1:12" hidden="1" x14ac:dyDescent="0.25">
      <c r="A91" s="58"/>
      <c r="B91" s="58" t="s">
        <v>10</v>
      </c>
      <c r="C91" s="58"/>
      <c r="D91" s="60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5"/>
      <c r="D92" s="52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5"/>
      <c r="D93" s="52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/>
    <row r="95" spans="1:12" s="7" customFormat="1" hidden="1" x14ac:dyDescent="0.25">
      <c r="A95" s="5"/>
      <c r="B95" s="9" t="s">
        <v>52</v>
      </c>
      <c r="C95" s="5"/>
      <c r="D95" s="52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5"/>
      <c r="D96" s="52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/>
    <row r="98" spans="1:12" hidden="1" x14ac:dyDescent="0.25"/>
    <row r="99" spans="1:12" hidden="1" x14ac:dyDescent="0.25">
      <c r="A99" s="58"/>
      <c r="B99" s="58" t="s">
        <v>194</v>
      </c>
      <c r="C99" s="58"/>
      <c r="D99" s="60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" t="s">
        <v>163</v>
      </c>
      <c r="D100" s="52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5"/>
      <c r="D101" s="52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/>
    <row r="103" spans="1:12" hidden="1" x14ac:dyDescent="0.25">
      <c r="A103" s="58"/>
      <c r="B103" s="58" t="s">
        <v>148</v>
      </c>
      <c r="C103" s="58"/>
      <c r="D103" s="60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5" t="s">
        <v>150</v>
      </c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F105" s="52">
        <f>F92</f>
        <v>0</v>
      </c>
      <c r="G105" s="52">
        <f t="shared" ref="G105:H105" si="33">G92</f>
        <v>0</v>
      </c>
      <c r="H105" s="52">
        <f t="shared" si="33"/>
        <v>0</v>
      </c>
    </row>
    <row r="106" spans="1:12" hidden="1" x14ac:dyDescent="0.25">
      <c r="B106" s="45" t="s">
        <v>152</v>
      </c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/>
    </row>
    <row r="109" spans="1:12" hidden="1" x14ac:dyDescent="0.25">
      <c r="A109" s="58"/>
      <c r="B109" s="58" t="s">
        <v>24</v>
      </c>
      <c r="C109" s="58"/>
      <c r="D109" s="60"/>
      <c r="E109" s="60">
        <f>E110*E111</f>
        <v>0</v>
      </c>
      <c r="F109" s="60">
        <f t="shared" ref="F109:H109" si="34">F110*F111</f>
        <v>0</v>
      </c>
      <c r="G109" s="60">
        <f t="shared" si="34"/>
        <v>0</v>
      </c>
      <c r="H109" s="60">
        <f t="shared" si="34"/>
        <v>0</v>
      </c>
    </row>
    <row r="110" spans="1:12" s="7" customFormat="1" hidden="1" x14ac:dyDescent="0.25">
      <c r="A110" s="5"/>
      <c r="B110" s="45" t="s">
        <v>54</v>
      </c>
      <c r="C110" s="5"/>
      <c r="D110" s="52"/>
      <c r="E110" s="52">
        <v>0</v>
      </c>
      <c r="F110" s="52">
        <v>0</v>
      </c>
      <c r="G110" s="52"/>
      <c r="H110" s="52"/>
      <c r="I110" s="6"/>
      <c r="J110" s="6"/>
      <c r="K110" s="6"/>
      <c r="L110" s="6"/>
    </row>
    <row r="111" spans="1:12" s="7" customFormat="1" hidden="1" x14ac:dyDescent="0.25">
      <c r="A111" s="5"/>
      <c r="B111" s="45" t="s">
        <v>55</v>
      </c>
      <c r="C111" s="5"/>
      <c r="D111" s="52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6"/>
      <c r="J111" s="6"/>
      <c r="K111" s="6"/>
      <c r="L111" s="6"/>
    </row>
    <row r="112" spans="1:12" hidden="1" x14ac:dyDescent="0.25"/>
    <row r="113" spans="1:12" hidden="1" x14ac:dyDescent="0.25">
      <c r="A113" s="58"/>
      <c r="B113" s="58" t="s">
        <v>7</v>
      </c>
      <c r="C113" s="58"/>
      <c r="D113" s="60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5"/>
      <c r="D114" s="52"/>
      <c r="E114" s="52"/>
      <c r="F114" s="52"/>
      <c r="G114" s="44"/>
      <c r="H114" s="44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46" t="s">
        <v>56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D116" s="91"/>
      <c r="E116" s="91"/>
      <c r="F116" s="91"/>
      <c r="G116" s="92"/>
      <c r="H116" s="92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D117" s="91"/>
      <c r="E117" s="91"/>
      <c r="F117" s="91"/>
      <c r="G117" s="92"/>
      <c r="H117" s="92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58"/>
      <c r="D119" s="60"/>
      <c r="E119" s="60"/>
      <c r="F119" s="60"/>
      <c r="G119" s="60"/>
      <c r="H119" s="60"/>
    </row>
    <row r="120" spans="1:12" s="5" customFormat="1" hidden="1" x14ac:dyDescent="0.25">
      <c r="B120" s="63" t="s">
        <v>61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63" t="s">
        <v>8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58"/>
      <c r="D130" s="60"/>
      <c r="E130" s="60"/>
      <c r="F130" s="60"/>
      <c r="G130" s="60"/>
      <c r="H130" s="60"/>
    </row>
    <row r="131" spans="1:12" s="5" customFormat="1" hidden="1" x14ac:dyDescent="0.25">
      <c r="B131" s="47" t="s">
        <v>64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D132" s="52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D133" s="52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D134" s="52"/>
      <c r="E134" s="52">
        <f>E135+E136*E137</f>
        <v>0</v>
      </c>
      <c r="F134" s="52">
        <f t="shared" ref="F134:H134" si="35">F135+F136*F137</f>
        <v>0</v>
      </c>
      <c r="G134" s="52">
        <f t="shared" si="35"/>
        <v>0</v>
      </c>
      <c r="H134" s="52">
        <f t="shared" si="35"/>
        <v>0</v>
      </c>
    </row>
    <row r="135" spans="1:12" hidden="1" x14ac:dyDescent="0.25">
      <c r="B135" s="47" t="s">
        <v>220</v>
      </c>
      <c r="F135" s="52">
        <f>'Rates and GI'!D56*0</f>
        <v>0</v>
      </c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D138" s="52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58"/>
      <c r="D139" s="60"/>
      <c r="E139" s="60">
        <f>E140*E141+E142*E143++E144*E145+E146*E147</f>
        <v>0</v>
      </c>
      <c r="F139" s="60">
        <f t="shared" ref="F139:H139" si="36">F140*F141+F142*F143++F144*F145+F146*F147</f>
        <v>400</v>
      </c>
      <c r="G139" s="60">
        <f t="shared" si="36"/>
        <v>400</v>
      </c>
      <c r="H139" s="60">
        <f t="shared" si="36"/>
        <v>400</v>
      </c>
    </row>
    <row r="140" spans="1:12" hidden="1" x14ac:dyDescent="0.25">
      <c r="B140" s="47" t="s">
        <v>169</v>
      </c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E144" s="52">
        <v>0</v>
      </c>
      <c r="F144" s="52">
        <v>2</v>
      </c>
      <c r="G144" s="52">
        <v>2</v>
      </c>
      <c r="H144" s="52">
        <v>2</v>
      </c>
    </row>
    <row r="145" spans="1:12" ht="27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hidden="1" x14ac:dyDescent="0.25">
      <c r="B146" s="47" t="s">
        <v>354</v>
      </c>
      <c r="D146" s="52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hidden="1" x14ac:dyDescent="0.25">
      <c r="B147" s="47" t="s">
        <v>349</v>
      </c>
      <c r="D147" s="52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8" spans="1:12" hidden="1" x14ac:dyDescent="0.25"/>
    <row r="149" spans="1:12" x14ac:dyDescent="0.25">
      <c r="A149" s="58"/>
      <c r="B149" s="58" t="s">
        <v>218</v>
      </c>
      <c r="C149" s="58"/>
      <c r="D149" s="60"/>
      <c r="E149" s="60">
        <f>E150+E153+E156+E165+E170</f>
        <v>0</v>
      </c>
      <c r="F149" s="60">
        <f t="shared" ref="F149:H149" si="37">F150+F153+F156+F165+F170</f>
        <v>12982.93</v>
      </c>
      <c r="G149" s="60">
        <f t="shared" si="37"/>
        <v>7982.93</v>
      </c>
      <c r="H149" s="60">
        <f t="shared" si="37"/>
        <v>7982.93</v>
      </c>
    </row>
    <row r="150" spans="1:12" s="5" customFormat="1" x14ac:dyDescent="0.25">
      <c r="B150" s="5" t="s">
        <v>197</v>
      </c>
      <c r="D150" s="52"/>
      <c r="E150" s="52">
        <f>E151+E154*E155</f>
        <v>0</v>
      </c>
      <c r="F150" s="52">
        <f>F151+F154*F155</f>
        <v>2241.4650000000001</v>
      </c>
      <c r="G150" s="52">
        <f>G151+G154*G155</f>
        <v>241.465</v>
      </c>
      <c r="H150" s="52">
        <f t="shared" ref="H150" si="38">H151+H154*H155</f>
        <v>241.465</v>
      </c>
    </row>
    <row r="151" spans="1:12" x14ac:dyDescent="0.25">
      <c r="B151" s="47" t="s">
        <v>208</v>
      </c>
      <c r="F151" s="52">
        <f>('Rates and GI'!$D$56+'Rates and GI'!$D$60)*2</f>
        <v>2000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F152" s="52">
        <f>'Rates and GI'!$D$62*0</f>
        <v>0</v>
      </c>
      <c r="G152" s="52">
        <f>'Rates and GI'!$D$62*0</f>
        <v>0</v>
      </c>
      <c r="H152" s="52"/>
    </row>
    <row r="153" spans="1:12" x14ac:dyDescent="0.25">
      <c r="B153" s="5" t="s">
        <v>198</v>
      </c>
      <c r="E153" s="52">
        <f>E154*E155</f>
        <v>0</v>
      </c>
      <c r="F153" s="52">
        <f t="shared" ref="F153:H153" si="39">F154*F155</f>
        <v>241.465</v>
      </c>
      <c r="G153" s="52">
        <f t="shared" si="39"/>
        <v>241.465</v>
      </c>
      <c r="H153" s="52">
        <f t="shared" si="39"/>
        <v>241.465</v>
      </c>
    </row>
    <row r="154" spans="1:12" x14ac:dyDescent="0.25">
      <c r="B154" s="47" t="s">
        <v>186</v>
      </c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x14ac:dyDescent="0.25">
      <c r="B155" s="47" t="s">
        <v>185</v>
      </c>
      <c r="F155" s="52">
        <v>10</v>
      </c>
      <c r="G155" s="52">
        <v>10</v>
      </c>
      <c r="H155" s="52">
        <v>10</v>
      </c>
    </row>
    <row r="156" spans="1:12" x14ac:dyDescent="0.25">
      <c r="B156" s="5" t="s">
        <v>199</v>
      </c>
      <c r="E156" s="52">
        <f>E157+E161</f>
        <v>0</v>
      </c>
      <c r="F156" s="52">
        <f t="shared" ref="F156:H156" si="40">F157+F161</f>
        <v>7500</v>
      </c>
      <c r="G156" s="52">
        <f t="shared" si="40"/>
        <v>7500</v>
      </c>
      <c r="H156" s="52">
        <f t="shared" si="40"/>
        <v>7500</v>
      </c>
    </row>
    <row r="157" spans="1:12" x14ac:dyDescent="0.25">
      <c r="B157" s="47" t="s">
        <v>213</v>
      </c>
      <c r="E157" s="52">
        <f>E158*E159</f>
        <v>0</v>
      </c>
      <c r="F157" s="52">
        <f t="shared" ref="F157:H157" si="41">F158*F159</f>
        <v>7500</v>
      </c>
      <c r="G157" s="52">
        <f t="shared" si="41"/>
        <v>7500</v>
      </c>
      <c r="H157" s="52">
        <f t="shared" si="41"/>
        <v>7500</v>
      </c>
    </row>
    <row r="158" spans="1:12" x14ac:dyDescent="0.25">
      <c r="B158" s="47" t="s">
        <v>200</v>
      </c>
      <c r="C158" s="5" t="s">
        <v>201</v>
      </c>
      <c r="E158" s="36">
        <v>0</v>
      </c>
      <c r="F158" s="52">
        <v>50</v>
      </c>
      <c r="G158" s="52">
        <v>50</v>
      </c>
      <c r="H158" s="52">
        <v>50</v>
      </c>
    </row>
    <row r="159" spans="1:12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2">F162*F163</f>
        <v>0</v>
      </c>
      <c r="G161" s="52">
        <f t="shared" si="42"/>
        <v>0</v>
      </c>
      <c r="H161" s="52">
        <f t="shared" si="42"/>
        <v>0</v>
      </c>
    </row>
    <row r="162" spans="1:12" hidden="1" x14ac:dyDescent="0.25">
      <c r="B162" s="47" t="s">
        <v>200</v>
      </c>
      <c r="C162" s="5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3">F166*F167*F168</f>
        <v>0</v>
      </c>
      <c r="G165" s="52">
        <f t="shared" si="43"/>
        <v>0</v>
      </c>
      <c r="H165" s="52">
        <f t="shared" si="43"/>
        <v>0</v>
      </c>
    </row>
    <row r="166" spans="1:12" hidden="1" x14ac:dyDescent="0.25">
      <c r="B166" s="47" t="s">
        <v>215</v>
      </c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/>
    <row r="170" spans="1:12" x14ac:dyDescent="0.25">
      <c r="B170" s="5" t="s">
        <v>196</v>
      </c>
      <c r="E170" s="52">
        <f>E171+E172*E173</f>
        <v>0</v>
      </c>
      <c r="F170" s="52">
        <f>F171+F172*F173</f>
        <v>3000</v>
      </c>
      <c r="G170" s="52">
        <f>G171+G172*G173</f>
        <v>0</v>
      </c>
      <c r="H170" s="52">
        <f>H171+H172*H173</f>
        <v>0</v>
      </c>
    </row>
    <row r="171" spans="1:12" x14ac:dyDescent="0.25">
      <c r="B171" s="47" t="s">
        <v>172</v>
      </c>
      <c r="F171" s="52">
        <f>'Rates and GI'!D56*2</f>
        <v>1000</v>
      </c>
    </row>
    <row r="172" spans="1:12" x14ac:dyDescent="0.25">
      <c r="B172" s="47" t="s">
        <v>178</v>
      </c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x14ac:dyDescent="0.25">
      <c r="B173" s="47" t="s">
        <v>179</v>
      </c>
      <c r="F173" s="52">
        <f>20000*2</f>
        <v>40000</v>
      </c>
      <c r="G173" s="44">
        <v>0</v>
      </c>
    </row>
    <row r="175" spans="1:12" x14ac:dyDescent="0.25">
      <c r="A175" s="58"/>
      <c r="B175" s="86" t="s">
        <v>429</v>
      </c>
      <c r="C175" s="58"/>
      <c r="D175" s="60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90">
        <f>SUM(E176:H176)</f>
        <v>22</v>
      </c>
      <c r="D176" s="52"/>
      <c r="E176" s="52">
        <v>4</v>
      </c>
      <c r="F176" s="52">
        <v>12</v>
      </c>
      <c r="G176" s="52">
        <v>6</v>
      </c>
      <c r="H176" s="52">
        <v>0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Soft!E5</f>
        <v>19317.2</v>
      </c>
      <c r="D177" s="52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3512.2181818181821</v>
      </c>
      <c r="F178" s="52">
        <f t="shared" ref="F178:H178" si="44">$C$177/$C$176*F176</f>
        <v>10536.654545454547</v>
      </c>
      <c r="G178" s="52">
        <f t="shared" si="44"/>
        <v>5268.3272727272733</v>
      </c>
      <c r="H178" s="52">
        <f t="shared" si="44"/>
        <v>0</v>
      </c>
      <c r="I178" s="70"/>
    </row>
    <row r="179" spans="1:12" x14ac:dyDescent="0.25">
      <c r="A179" s="58"/>
      <c r="B179" s="86"/>
      <c r="C179" s="58"/>
      <c r="D179" s="60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180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36" customWidth="1"/>
    <col min="5" max="5" width="12" style="36" bestFit="1" customWidth="1"/>
    <col min="6" max="6" width="10.28515625" style="36" bestFit="1" customWidth="1"/>
    <col min="7" max="7" width="10.28515625" style="29" bestFit="1" customWidth="1"/>
    <col min="8" max="8" width="10.42578125" style="29" bestFit="1" customWidth="1"/>
    <col min="9" max="16384" width="9.140625" style="6"/>
  </cols>
  <sheetData>
    <row r="1" spans="1:12" s="140" customFormat="1" ht="34.5" x14ac:dyDescent="0.3">
      <c r="A1" s="227">
        <v>28</v>
      </c>
      <c r="B1" s="228" t="s">
        <v>255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2477.029868793375</v>
      </c>
      <c r="E5" s="52">
        <f>E67</f>
        <v>1113.5250000000001</v>
      </c>
      <c r="F5" s="52">
        <f t="shared" ref="F5:H5" si="1">F67</f>
        <v>774.27104999999995</v>
      </c>
      <c r="G5" s="52">
        <f t="shared" si="1"/>
        <v>288.41596612499995</v>
      </c>
      <c r="H5" s="52">
        <f t="shared" si="1"/>
        <v>300.81785266837494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E71</f>
        <v>0</v>
      </c>
      <c r="F6" s="52">
        <f t="shared" ref="F6:H6" si="2">F71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2477.029868793375</v>
      </c>
      <c r="E7" s="55">
        <f>SUBTOTAL(9,E5:E6)</f>
        <v>1113.5250000000001</v>
      </c>
      <c r="F7" s="55">
        <f>SUBTOTAL(9,F5:F6)</f>
        <v>774.27104999999995</v>
      </c>
      <c r="G7" s="55">
        <f>SUBTOTAL(9,G5:G6)</f>
        <v>288.41596612499995</v>
      </c>
      <c r="H7" s="55">
        <f>SUBTOTAL(9,H5:H6)</f>
        <v>300.81785266837494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93"/>
      <c r="D9" s="34"/>
      <c r="E9" s="34"/>
      <c r="F9" s="34"/>
      <c r="G9" s="35"/>
      <c r="H9" s="35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6.7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E109</f>
        <v>0</v>
      </c>
      <c r="F25" s="52">
        <f t="shared" ref="F25:H25" si="13">F109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95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6.75" customHeight="1" x14ac:dyDescent="0.25">
      <c r="D29" s="52"/>
      <c r="E29" s="52"/>
      <c r="F29" s="52"/>
      <c r="G29" s="44"/>
      <c r="H29" s="44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1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1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96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96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96"/>
      <c r="D44" s="52"/>
      <c r="E44" s="52"/>
      <c r="F44" s="52"/>
      <c r="G44" s="44"/>
      <c r="H44" s="44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67610.2</v>
      </c>
      <c r="E46" s="52">
        <f>E178</f>
        <v>0</v>
      </c>
      <c r="F46" s="52">
        <f t="shared" ref="F46:H46" si="21">F178</f>
        <v>45073.466666666667</v>
      </c>
      <c r="G46" s="44">
        <f t="shared" si="21"/>
        <v>22536.733333333334</v>
      </c>
      <c r="H46" s="44">
        <f t="shared" si="21"/>
        <v>0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67610.2</v>
      </c>
      <c r="E47" s="55">
        <f t="shared" ref="E47:H47" si="22">SUBTOTAL(9,E46)</f>
        <v>0</v>
      </c>
      <c r="F47" s="55">
        <f t="shared" si="22"/>
        <v>45073.466666666667</v>
      </c>
      <c r="G47" s="55">
        <f t="shared" si="22"/>
        <v>22536.733333333334</v>
      </c>
      <c r="H47" s="55">
        <f t="shared" si="22"/>
        <v>0</v>
      </c>
    </row>
    <row r="48" spans="1:12" ht="6" customHeight="1" x14ac:dyDescent="0.25">
      <c r="A48" s="3"/>
      <c r="B48" s="6"/>
      <c r="C48" s="96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2982.9300000000003</v>
      </c>
      <c r="E50" s="52">
        <f>E149</f>
        <v>0</v>
      </c>
      <c r="F50" s="52">
        <f t="shared" ref="F50:H50" si="24">F149</f>
        <v>1500</v>
      </c>
      <c r="G50" s="52">
        <f t="shared" si="24"/>
        <v>1241.4650000000001</v>
      </c>
      <c r="H50" s="52">
        <f t="shared" si="24"/>
        <v>241.465</v>
      </c>
    </row>
    <row r="51" spans="1:12" x14ac:dyDescent="0.25">
      <c r="A51" s="3"/>
      <c r="B51" s="3" t="s">
        <v>21</v>
      </c>
      <c r="C51" s="96"/>
      <c r="D51" s="52">
        <f t="shared" si="23"/>
        <v>600</v>
      </c>
      <c r="E51" s="52">
        <f>E139</f>
        <v>0</v>
      </c>
      <c r="F51" s="52">
        <f t="shared" ref="F51:H51" si="25">F139</f>
        <v>0</v>
      </c>
      <c r="G51" s="52">
        <f t="shared" si="25"/>
        <v>0</v>
      </c>
      <c r="H51" s="52">
        <f t="shared" si="25"/>
        <v>600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3582.9300000000003</v>
      </c>
      <c r="E52" s="55">
        <f>SUBTOTAL(9,E50:E51)</f>
        <v>0</v>
      </c>
      <c r="F52" s="55">
        <f>SUBTOTAL(9,F50:F51)</f>
        <v>1500</v>
      </c>
      <c r="G52" s="55">
        <f>SUBTOTAL(9,G50:G51)</f>
        <v>1241.4650000000001</v>
      </c>
      <c r="H52" s="55">
        <f>SUBTOTAL(9,H50:H51)</f>
        <v>841.46500000000003</v>
      </c>
    </row>
    <row r="53" spans="1:12" ht="5.25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97"/>
      <c r="D54" s="57">
        <f>SUBTOTAL(9,D5:D52)</f>
        <v>73670.159868793358</v>
      </c>
      <c r="E54" s="57">
        <f>SUBTOTAL(9,E5:E52)</f>
        <v>1113.5250000000001</v>
      </c>
      <c r="F54" s="57">
        <f>SUBTOTAL(9,F5:F52)</f>
        <v>47347.73771666667</v>
      </c>
      <c r="G54" s="57">
        <f>SUBTOTAL(9,G5:G52)</f>
        <v>24066.614299458335</v>
      </c>
      <c r="H54" s="57">
        <f>SUBTOTAL(9,H5:H52)</f>
        <v>1142.282852668375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</row>
    <row r="60" spans="1:12" hidden="1" x14ac:dyDescent="0.25">
      <c r="A60" s="58"/>
      <c r="B60" s="58" t="s">
        <v>0</v>
      </c>
      <c r="C60" s="98"/>
      <c r="D60" s="59"/>
      <c r="E60" s="59"/>
      <c r="F60" s="59"/>
      <c r="G60" s="59"/>
      <c r="H60" s="59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52">
        <v>0</v>
      </c>
      <c r="F62" s="52">
        <v>0</v>
      </c>
      <c r="G62" s="52">
        <v>0</v>
      </c>
      <c r="H62" s="52">
        <v>0</v>
      </c>
      <c r="I62" s="70"/>
    </row>
    <row r="63" spans="1:12" hidden="1" x14ac:dyDescent="0.25">
      <c r="A63" s="9"/>
      <c r="B63" s="9" t="s">
        <v>38</v>
      </c>
      <c r="C63" s="99"/>
      <c r="D63" s="37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54">
        <v>0</v>
      </c>
      <c r="F65" s="52">
        <v>4</v>
      </c>
      <c r="G65" s="44">
        <v>12</v>
      </c>
      <c r="H65" s="44">
        <v>12</v>
      </c>
      <c r="I65" s="70"/>
    </row>
    <row r="66" spans="1:12" hidden="1" x14ac:dyDescent="0.25">
      <c r="A66" s="9"/>
      <c r="B66" s="9"/>
      <c r="C66" s="99"/>
      <c r="E66" s="52"/>
      <c r="F66" s="52"/>
      <c r="G66" s="44"/>
      <c r="H66" s="44"/>
      <c r="I66" s="70"/>
    </row>
    <row r="67" spans="1:12" x14ac:dyDescent="0.25">
      <c r="B67" s="5" t="s">
        <v>23</v>
      </c>
      <c r="E67" s="52">
        <f>E68*E69</f>
        <v>1113.5250000000001</v>
      </c>
      <c r="F67" s="52">
        <f t="shared" ref="F67:H67" si="28">F68*F69</f>
        <v>774.27104999999995</v>
      </c>
      <c r="G67" s="52">
        <f t="shared" si="28"/>
        <v>288.41596612499995</v>
      </c>
      <c r="H67" s="52">
        <f t="shared" si="28"/>
        <v>300.81785266837494</v>
      </c>
      <c r="I67" s="70"/>
    </row>
    <row r="68" spans="1:12" x14ac:dyDescent="0.25">
      <c r="A68" s="9"/>
      <c r="B68" s="9" t="s">
        <v>129</v>
      </c>
      <c r="C68" s="99" t="s">
        <v>128</v>
      </c>
      <c r="E68" s="52">
        <v>63</v>
      </c>
      <c r="F68" s="52">
        <v>42</v>
      </c>
      <c r="G68" s="52">
        <v>15</v>
      </c>
      <c r="H68" s="52">
        <v>15</v>
      </c>
      <c r="I68" s="70"/>
    </row>
    <row r="69" spans="1:12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x14ac:dyDescent="0.25">
      <c r="E70" s="52"/>
      <c r="F70" s="52"/>
      <c r="G70" s="44"/>
      <c r="H70" s="44"/>
      <c r="I70" s="70"/>
    </row>
    <row r="71" spans="1:12" s="7" customFormat="1" hidden="1" x14ac:dyDescent="0.25">
      <c r="A71" s="5"/>
      <c r="B71" s="5" t="s">
        <v>191</v>
      </c>
      <c r="C71" s="94"/>
      <c r="D71" s="36"/>
      <c r="E71" s="52">
        <f>E72*E73</f>
        <v>0</v>
      </c>
      <c r="F71" s="52">
        <f t="shared" ref="F71:H71" si="29">F72*F73</f>
        <v>0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hidden="1" x14ac:dyDescent="0.25">
      <c r="A72" s="9"/>
      <c r="B72" s="9" t="s">
        <v>193</v>
      </c>
      <c r="C72" s="99" t="s">
        <v>128</v>
      </c>
      <c r="D72" s="36"/>
      <c r="E72" s="52">
        <v>0</v>
      </c>
      <c r="F72" s="52">
        <v>0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hidden="1" x14ac:dyDescent="0.25">
      <c r="A73" s="9"/>
      <c r="B73" s="9" t="s">
        <v>41</v>
      </c>
      <c r="C73" s="99"/>
      <c r="D73" s="36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E74" s="52"/>
      <c r="F74" s="52"/>
      <c r="G74" s="44"/>
      <c r="H74" s="44"/>
      <c r="I74" s="70"/>
    </row>
    <row r="75" spans="1:12" s="7" customFormat="1" hidden="1" x14ac:dyDescent="0.25">
      <c r="A75" s="5"/>
      <c r="B75" s="5" t="s">
        <v>1</v>
      </c>
      <c r="C75" s="94"/>
      <c r="D75" s="36"/>
      <c r="E75" s="52"/>
      <c r="F75" s="52"/>
      <c r="G75" s="44"/>
      <c r="H75" s="44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36"/>
      <c r="E76" s="36">
        <v>0</v>
      </c>
      <c r="F76" s="36"/>
      <c r="G76" s="29"/>
      <c r="H76" s="29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36"/>
      <c r="E77" s="36">
        <v>0</v>
      </c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36"/>
      <c r="E78" s="36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36"/>
      <c r="E79" s="36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36"/>
      <c r="E81" s="36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36"/>
      <c r="E82" s="36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36"/>
      <c r="E83" s="36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36"/>
      <c r="E85" s="36"/>
      <c r="F85" s="36"/>
      <c r="G85" s="29"/>
      <c r="H85" s="29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36"/>
      <c r="E86" s="36">
        <v>0</v>
      </c>
      <c r="F86" s="36"/>
      <c r="G86" s="29"/>
      <c r="H86" s="29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36"/>
      <c r="E87" s="36">
        <v>0</v>
      </c>
      <c r="F87" s="36"/>
      <c r="G87" s="29"/>
      <c r="H87" s="29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36"/>
      <c r="E89" s="39"/>
      <c r="F89" s="36"/>
      <c r="G89" s="29"/>
      <c r="H89" s="29"/>
      <c r="I89" s="6"/>
      <c r="J89" s="6"/>
      <c r="K89" s="6"/>
      <c r="L89" s="6"/>
    </row>
    <row r="90" spans="1:12" hidden="1" x14ac:dyDescent="0.25"/>
    <row r="91" spans="1:12" hidden="1" x14ac:dyDescent="0.25">
      <c r="A91" s="58"/>
      <c r="B91" s="58" t="s">
        <v>10</v>
      </c>
      <c r="C91" s="98"/>
      <c r="D91" s="59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94"/>
      <c r="D92" s="36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94"/>
      <c r="D93" s="36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>
      <c r="E94" s="52"/>
      <c r="F94" s="52"/>
      <c r="G94" s="44"/>
      <c r="H94" s="44"/>
    </row>
    <row r="95" spans="1:12" s="7" customFormat="1" hidden="1" x14ac:dyDescent="0.25">
      <c r="A95" s="5"/>
      <c r="B95" s="9" t="s">
        <v>52</v>
      </c>
      <c r="C95" s="94"/>
      <c r="D95" s="36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36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>
      <c r="E97" s="52"/>
      <c r="F97" s="52"/>
      <c r="G97" s="44"/>
      <c r="H97" s="44"/>
    </row>
    <row r="98" spans="1:12" hidden="1" x14ac:dyDescent="0.25"/>
    <row r="99" spans="1:12" hidden="1" x14ac:dyDescent="0.25">
      <c r="A99" s="58"/>
      <c r="B99" s="58" t="s">
        <v>194</v>
      </c>
      <c r="C99" s="98"/>
      <c r="D99" s="59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0" t="s">
        <v>163</v>
      </c>
      <c r="D100" s="36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94"/>
      <c r="D101" s="36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/>
    <row r="103" spans="1:12" hidden="1" x14ac:dyDescent="0.25">
      <c r="A103" s="58"/>
      <c r="B103" s="58" t="s">
        <v>148</v>
      </c>
      <c r="C103" s="98"/>
      <c r="D103" s="59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E104" s="52"/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E105" s="52"/>
      <c r="F105" s="52">
        <f>F92</f>
        <v>0</v>
      </c>
      <c r="G105" s="52">
        <f t="shared" ref="G105:H105" si="33">G92</f>
        <v>0</v>
      </c>
      <c r="H105" s="52">
        <f t="shared" si="33"/>
        <v>0</v>
      </c>
    </row>
    <row r="106" spans="1:12" hidden="1" x14ac:dyDescent="0.25">
      <c r="B106" s="45" t="s">
        <v>152</v>
      </c>
      <c r="E106" s="52"/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/>
    </row>
    <row r="109" spans="1:12" hidden="1" x14ac:dyDescent="0.25">
      <c r="A109" s="58"/>
      <c r="B109" s="58" t="s">
        <v>24</v>
      </c>
      <c r="C109" s="98"/>
      <c r="D109" s="59"/>
      <c r="E109" s="60">
        <f>E110*E111</f>
        <v>0</v>
      </c>
      <c r="F109" s="60">
        <f t="shared" ref="F109:H109" si="34">F110*F111</f>
        <v>0</v>
      </c>
      <c r="G109" s="60">
        <f t="shared" si="34"/>
        <v>0</v>
      </c>
      <c r="H109" s="60">
        <f t="shared" si="34"/>
        <v>0</v>
      </c>
    </row>
    <row r="110" spans="1:12" s="7" customFormat="1" hidden="1" x14ac:dyDescent="0.25">
      <c r="A110" s="5"/>
      <c r="B110" s="45" t="s">
        <v>54</v>
      </c>
      <c r="C110" s="94"/>
      <c r="D110" s="36"/>
      <c r="E110" s="52">
        <v>0</v>
      </c>
      <c r="F110" s="52">
        <v>0</v>
      </c>
      <c r="G110" s="52"/>
      <c r="H110" s="52"/>
      <c r="I110" s="6"/>
      <c r="J110" s="6"/>
      <c r="K110" s="6"/>
      <c r="L110" s="6"/>
    </row>
    <row r="111" spans="1:12" s="7" customFormat="1" hidden="1" x14ac:dyDescent="0.25">
      <c r="A111" s="5"/>
      <c r="B111" s="45" t="s">
        <v>55</v>
      </c>
      <c r="C111" s="94"/>
      <c r="D111" s="36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6"/>
      <c r="J111" s="6"/>
      <c r="K111" s="6"/>
      <c r="L111" s="6"/>
    </row>
    <row r="112" spans="1:12" hidden="1" x14ac:dyDescent="0.25"/>
    <row r="113" spans="1:12" hidden="1" x14ac:dyDescent="0.25">
      <c r="A113" s="58"/>
      <c r="B113" s="58" t="s">
        <v>7</v>
      </c>
      <c r="C113" s="98"/>
      <c r="D113" s="59"/>
      <c r="E113" s="59"/>
      <c r="F113" s="59"/>
      <c r="G113" s="59"/>
      <c r="H113" s="59"/>
    </row>
    <row r="114" spans="1:12" s="7" customFormat="1" hidden="1" x14ac:dyDescent="0.25">
      <c r="A114" s="5"/>
      <c r="B114" s="4" t="s">
        <v>58</v>
      </c>
      <c r="C114" s="94"/>
      <c r="D114" s="36"/>
      <c r="E114" s="36"/>
      <c r="F114" s="36"/>
      <c r="G114" s="29"/>
      <c r="H114" s="29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48"/>
      <c r="E115" s="48"/>
      <c r="F115" s="48"/>
      <c r="G115" s="49"/>
      <c r="H115" s="49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48"/>
      <c r="E116" s="48"/>
      <c r="F116" s="48"/>
      <c r="G116" s="49"/>
      <c r="H116" s="49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59"/>
      <c r="E119" s="59"/>
      <c r="F119" s="59"/>
      <c r="G119" s="59"/>
      <c r="H119" s="59"/>
    </row>
    <row r="120" spans="1:12" s="5" customFormat="1" hidden="1" x14ac:dyDescent="0.25">
      <c r="B120" s="63" t="s">
        <v>61</v>
      </c>
      <c r="C120" s="94"/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98"/>
      <c r="D130" s="59"/>
      <c r="E130" s="59"/>
      <c r="F130" s="59"/>
      <c r="G130" s="59"/>
      <c r="H130" s="59"/>
    </row>
    <row r="131" spans="1:12" s="5" customFormat="1" hidden="1" x14ac:dyDescent="0.25">
      <c r="B131" s="47" t="s">
        <v>64</v>
      </c>
      <c r="C131" s="94"/>
      <c r="D131" s="36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36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36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C134" s="94"/>
      <c r="D134" s="36"/>
      <c r="E134" s="52">
        <f>E135+E136*E137</f>
        <v>0</v>
      </c>
      <c r="F134" s="52">
        <f t="shared" ref="F134:H134" si="35">F135+F136*F137</f>
        <v>0</v>
      </c>
      <c r="G134" s="52">
        <f t="shared" si="35"/>
        <v>0</v>
      </c>
      <c r="H134" s="52">
        <f t="shared" si="35"/>
        <v>0</v>
      </c>
    </row>
    <row r="135" spans="1:12" hidden="1" x14ac:dyDescent="0.25">
      <c r="B135" s="47" t="s">
        <v>220</v>
      </c>
      <c r="E135" s="52"/>
      <c r="F135" s="52">
        <f>'Rates and GI'!D56*0</f>
        <v>0</v>
      </c>
      <c r="G135" s="44"/>
      <c r="H135" s="44"/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C138" s="94"/>
      <c r="D138" s="36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98"/>
      <c r="D139" s="59"/>
      <c r="E139" s="60">
        <f>E140*E141+E142*E143++E144*E145+E146*E147</f>
        <v>0</v>
      </c>
      <c r="F139" s="60">
        <f t="shared" ref="F139:H139" si="36">F140*F141+F142*F143++F144*F145+F146*F147</f>
        <v>0</v>
      </c>
      <c r="G139" s="60">
        <f t="shared" si="36"/>
        <v>0</v>
      </c>
      <c r="H139" s="60">
        <f t="shared" si="36"/>
        <v>600</v>
      </c>
    </row>
    <row r="140" spans="1:12" hidden="1" x14ac:dyDescent="0.25">
      <c r="B140" s="47" t="s">
        <v>169</v>
      </c>
      <c r="E140" s="52"/>
      <c r="F140" s="52"/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E142" s="52"/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E144" s="52">
        <v>0</v>
      </c>
      <c r="F144" s="52">
        <v>0</v>
      </c>
      <c r="G144" s="52">
        <v>0</v>
      </c>
      <c r="H144" s="52">
        <v>3</v>
      </c>
    </row>
    <row r="145" spans="1:12" ht="27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hidden="1" x14ac:dyDescent="0.25">
      <c r="B146" s="47" t="s">
        <v>354</v>
      </c>
      <c r="C146" s="94"/>
      <c r="D146" s="36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hidden="1" x14ac:dyDescent="0.25">
      <c r="B147" s="47" t="s">
        <v>349</v>
      </c>
      <c r="C147" s="94"/>
      <c r="D147" s="36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8" spans="1:12" x14ac:dyDescent="0.25">
      <c r="E148" s="52"/>
      <c r="F148" s="52"/>
      <c r="G148" s="44"/>
      <c r="H148" s="44"/>
    </row>
    <row r="149" spans="1:12" x14ac:dyDescent="0.25">
      <c r="A149" s="58"/>
      <c r="B149" s="58" t="s">
        <v>218</v>
      </c>
      <c r="C149" s="98"/>
      <c r="D149" s="59"/>
      <c r="E149" s="60">
        <f>E150+E153+E156+E165+E170</f>
        <v>0</v>
      </c>
      <c r="F149" s="60">
        <f t="shared" ref="F149:H149" si="37">F150+F153+F156+F165+F170</f>
        <v>1500</v>
      </c>
      <c r="G149" s="60">
        <f t="shared" si="37"/>
        <v>1241.4650000000001</v>
      </c>
      <c r="H149" s="60">
        <f t="shared" si="37"/>
        <v>241.465</v>
      </c>
    </row>
    <row r="150" spans="1:12" s="5" customFormat="1" x14ac:dyDescent="0.25">
      <c r="B150" s="5" t="s">
        <v>197</v>
      </c>
      <c r="C150" s="94"/>
      <c r="D150" s="36"/>
      <c r="E150" s="52">
        <f>E151+E154*E155</f>
        <v>0</v>
      </c>
      <c r="F150" s="52">
        <f>F151+F154*F155</f>
        <v>0</v>
      </c>
      <c r="G150" s="52">
        <f>G151+G154*G155</f>
        <v>1120.7325000000001</v>
      </c>
      <c r="H150" s="52">
        <f t="shared" ref="H150" si="38">H151+H154*H155</f>
        <v>120.7325</v>
      </c>
    </row>
    <row r="151" spans="1:12" x14ac:dyDescent="0.25">
      <c r="B151" s="47" t="s">
        <v>208</v>
      </c>
      <c r="E151" s="52"/>
      <c r="F151" s="52">
        <f>('Rates and GI'!$D$56+'Rates and GI'!$D$60)*0</f>
        <v>0</v>
      </c>
      <c r="G151" s="52">
        <f>('Rates and GI'!$D$56+'Rates and GI'!$D$60)*1</f>
        <v>1000</v>
      </c>
      <c r="H151" s="52"/>
    </row>
    <row r="152" spans="1:12" hidden="1" x14ac:dyDescent="0.25">
      <c r="B152" s="47" t="s">
        <v>211</v>
      </c>
      <c r="E152" s="52"/>
      <c r="F152" s="52">
        <f>'Rates and GI'!$D$62*0</f>
        <v>0</v>
      </c>
      <c r="G152" s="52">
        <f>'Rates and GI'!$D$62*0</f>
        <v>0</v>
      </c>
      <c r="H152" s="52"/>
    </row>
    <row r="153" spans="1:12" x14ac:dyDescent="0.25">
      <c r="B153" s="5" t="s">
        <v>198</v>
      </c>
      <c r="E153" s="52">
        <f>E154*E155</f>
        <v>0</v>
      </c>
      <c r="F153" s="52">
        <f t="shared" ref="F153:H153" si="39">F154*F155</f>
        <v>0</v>
      </c>
      <c r="G153" s="52">
        <f t="shared" si="39"/>
        <v>120.7325</v>
      </c>
      <c r="H153" s="52">
        <f t="shared" si="39"/>
        <v>120.7325</v>
      </c>
    </row>
    <row r="154" spans="1:12" x14ac:dyDescent="0.25">
      <c r="B154" s="47" t="s">
        <v>186</v>
      </c>
      <c r="E154" s="52"/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x14ac:dyDescent="0.25">
      <c r="B155" s="47" t="s">
        <v>185</v>
      </c>
      <c r="E155" s="52"/>
      <c r="F155" s="52">
        <v>0</v>
      </c>
      <c r="G155" s="52">
        <v>5</v>
      </c>
      <c r="H155" s="52">
        <v>5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40">F157+F161</f>
        <v>0</v>
      </c>
      <c r="G156" s="52">
        <f t="shared" si="40"/>
        <v>0</v>
      </c>
      <c r="H156" s="52">
        <f t="shared" si="40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1">F158*F159</f>
        <v>0</v>
      </c>
      <c r="G157" s="52">
        <f t="shared" si="41"/>
        <v>0</v>
      </c>
      <c r="H157" s="52">
        <f t="shared" si="41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  <c r="E160" s="52"/>
      <c r="F160" s="52"/>
      <c r="G160" s="44"/>
      <c r="H160" s="44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2">F162*F163</f>
        <v>0</v>
      </c>
      <c r="G161" s="52">
        <f t="shared" si="42"/>
        <v>0</v>
      </c>
      <c r="H161" s="52">
        <f t="shared" si="42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  <c r="E164" s="52"/>
      <c r="F164" s="52"/>
      <c r="G164" s="44"/>
      <c r="H164" s="44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3">F166*F167*F168</f>
        <v>0</v>
      </c>
      <c r="G165" s="52">
        <f t="shared" si="43"/>
        <v>0</v>
      </c>
      <c r="H165" s="52">
        <f t="shared" si="43"/>
        <v>0</v>
      </c>
    </row>
    <row r="166" spans="1:12" hidden="1" x14ac:dyDescent="0.25">
      <c r="B166" s="47" t="s">
        <v>215</v>
      </c>
      <c r="E166" s="52"/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>
      <c r="E169" s="52"/>
      <c r="F169" s="52"/>
      <c r="G169" s="44"/>
      <c r="H169" s="44"/>
    </row>
    <row r="170" spans="1:12" x14ac:dyDescent="0.25">
      <c r="B170" s="5" t="s">
        <v>196</v>
      </c>
      <c r="E170" s="52">
        <f>E171+E172*E173</f>
        <v>0</v>
      </c>
      <c r="F170" s="52">
        <f>F171+F172*F173</f>
        <v>1500</v>
      </c>
      <c r="G170" s="52">
        <f>G171+G172*G173</f>
        <v>0</v>
      </c>
      <c r="H170" s="52">
        <f>H171+H172*H173</f>
        <v>0</v>
      </c>
    </row>
    <row r="171" spans="1:12" x14ac:dyDescent="0.25">
      <c r="B171" s="47" t="s">
        <v>172</v>
      </c>
      <c r="E171" s="52"/>
      <c r="F171" s="52">
        <f>'Rates and GI'!D56*2</f>
        <v>1000</v>
      </c>
      <c r="G171" s="44"/>
      <c r="H171" s="44"/>
    </row>
    <row r="172" spans="1:12" x14ac:dyDescent="0.25">
      <c r="B172" s="47" t="s">
        <v>178</v>
      </c>
      <c r="E172" s="52"/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x14ac:dyDescent="0.25">
      <c r="B173" s="47" t="s">
        <v>179</v>
      </c>
      <c r="E173" s="52"/>
      <c r="F173" s="52">
        <v>10000</v>
      </c>
      <c r="G173" s="44">
        <v>0</v>
      </c>
      <c r="H173" s="44"/>
    </row>
    <row r="174" spans="1:12" x14ac:dyDescent="0.25">
      <c r="E174" s="52"/>
      <c r="F174" s="52"/>
      <c r="G174" s="44"/>
      <c r="H174" s="44"/>
    </row>
    <row r="175" spans="1:12" x14ac:dyDescent="0.25">
      <c r="A175" s="58"/>
      <c r="B175" s="86" t="s">
        <v>429</v>
      </c>
      <c r="C175" s="98"/>
      <c r="D175" s="59"/>
      <c r="E175" s="59"/>
      <c r="F175" s="59"/>
      <c r="G175" s="59"/>
      <c r="H175" s="59"/>
    </row>
    <row r="176" spans="1:12" s="7" customFormat="1" x14ac:dyDescent="0.25">
      <c r="A176" s="10"/>
      <c r="B176" s="45" t="s">
        <v>263</v>
      </c>
      <c r="C176" s="102">
        <f>SUM(E176:H176)</f>
        <v>18</v>
      </c>
      <c r="D176" s="36"/>
      <c r="E176" s="52">
        <v>0</v>
      </c>
      <c r="F176" s="52">
        <v>12</v>
      </c>
      <c r="G176" s="52">
        <v>6</v>
      </c>
      <c r="H176" s="52">
        <v>0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Soft!E6</f>
        <v>67610.2</v>
      </c>
      <c r="D177" s="36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0</v>
      </c>
      <c r="F178" s="52">
        <f t="shared" ref="F178:H178" si="44">$C$177/$C$176*F176</f>
        <v>45073.466666666667</v>
      </c>
      <c r="G178" s="52">
        <f t="shared" si="44"/>
        <v>22536.733333333334</v>
      </c>
      <c r="H178" s="52">
        <f t="shared" si="44"/>
        <v>0</v>
      </c>
      <c r="I178" s="70"/>
    </row>
    <row r="179" spans="1:12" x14ac:dyDescent="0.25">
      <c r="A179" s="58"/>
      <c r="B179" s="58"/>
      <c r="C179" s="98"/>
      <c r="D179" s="59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180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52" customWidth="1"/>
    <col min="5" max="5" width="12" style="52" bestFit="1" customWidth="1"/>
    <col min="6" max="6" width="10.28515625" style="52" bestFit="1" customWidth="1"/>
    <col min="7" max="7" width="10.28515625" style="44" bestFit="1" customWidth="1"/>
    <col min="8" max="8" width="10.42578125" style="44" bestFit="1" customWidth="1"/>
    <col min="9" max="16384" width="9.140625" style="6"/>
  </cols>
  <sheetData>
    <row r="1" spans="1:12" s="140" customFormat="1" ht="34.5" x14ac:dyDescent="0.3">
      <c r="A1" s="227">
        <v>29</v>
      </c>
      <c r="B1" s="228" t="s">
        <v>256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0</v>
      </c>
      <c r="E5" s="52">
        <f>E67</f>
        <v>0</v>
      </c>
      <c r="F5" s="52">
        <f t="shared" ref="F5:H5" si="1">F67</f>
        <v>0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E71</f>
        <v>0</v>
      </c>
      <c r="F6" s="52">
        <f t="shared" ref="F6:H6" si="2">F71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0</v>
      </c>
      <c r="E7" s="55">
        <f>SUBTOTAL(9,E5:E6)</f>
        <v>0</v>
      </c>
      <c r="F7" s="55">
        <f>SUBTOTAL(9,F5:F6)</f>
        <v>0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6.75" customHeight="1" x14ac:dyDescent="0.25"/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E109</f>
        <v>0</v>
      </c>
      <c r="F25" s="52">
        <f t="shared" ref="F25:H25" si="13">F109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95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5.25" customHeight="1" x14ac:dyDescent="0.25"/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/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1"/>
      <c r="D39" s="52">
        <f t="shared" si="18"/>
        <v>0</v>
      </c>
    </row>
    <row r="40" spans="1:12" x14ac:dyDescent="0.25">
      <c r="A40" s="2"/>
      <c r="B40" s="2" t="s">
        <v>19</v>
      </c>
      <c r="C40" s="1"/>
      <c r="D40" s="52">
        <f t="shared" si="18"/>
        <v>0</v>
      </c>
    </row>
    <row r="41" spans="1:12" x14ac:dyDescent="0.25">
      <c r="A41" s="3"/>
      <c r="B41" s="3" t="s">
        <v>13</v>
      </c>
      <c r="C41" s="96"/>
      <c r="D41" s="52">
        <f t="shared" si="18"/>
        <v>0</v>
      </c>
    </row>
    <row r="42" spans="1:12" x14ac:dyDescent="0.25">
      <c r="A42" s="3"/>
      <c r="B42" s="3" t="s">
        <v>22</v>
      </c>
      <c r="C42" s="96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7.5" customHeight="1" x14ac:dyDescent="0.25">
      <c r="A44" s="3"/>
      <c r="B44" s="6"/>
      <c r="C44" s="96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1448790</v>
      </c>
      <c r="E46" s="52">
        <f>E178</f>
        <v>0</v>
      </c>
      <c r="F46" s="52">
        <f t="shared" ref="F46:H46" si="21">F178</f>
        <v>869274</v>
      </c>
      <c r="G46" s="44">
        <f t="shared" si="21"/>
        <v>289758</v>
      </c>
      <c r="H46" s="44">
        <f t="shared" si="21"/>
        <v>289758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1448790</v>
      </c>
      <c r="E47" s="55">
        <f t="shared" ref="E47:H47" si="22">SUBTOTAL(9,E46)</f>
        <v>0</v>
      </c>
      <c r="F47" s="55">
        <f t="shared" si="22"/>
        <v>869274</v>
      </c>
      <c r="G47" s="55">
        <f t="shared" si="22"/>
        <v>289758</v>
      </c>
      <c r="H47" s="55">
        <f t="shared" si="22"/>
        <v>289758</v>
      </c>
    </row>
    <row r="48" spans="1:12" ht="6" customHeight="1" x14ac:dyDescent="0.25">
      <c r="A48" s="3"/>
      <c r="B48" s="6"/>
      <c r="C48" s="96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3514.1529999999998</v>
      </c>
      <c r="E50" s="52">
        <f>E149</f>
        <v>0</v>
      </c>
      <c r="F50" s="52">
        <f t="shared" ref="F50:H50" si="24">F149</f>
        <v>0</v>
      </c>
      <c r="G50" s="52">
        <f t="shared" si="24"/>
        <v>2982.93</v>
      </c>
      <c r="H50" s="52">
        <f t="shared" si="24"/>
        <v>531.22299999999996</v>
      </c>
    </row>
    <row r="51" spans="1:12" x14ac:dyDescent="0.25">
      <c r="A51" s="3"/>
      <c r="B51" s="3" t="s">
        <v>21</v>
      </c>
      <c r="C51" s="96"/>
      <c r="D51" s="52">
        <f t="shared" si="23"/>
        <v>1200</v>
      </c>
      <c r="E51" s="52">
        <f>E139</f>
        <v>0</v>
      </c>
      <c r="F51" s="52">
        <f t="shared" ref="F51:H51" si="25">F139</f>
        <v>0</v>
      </c>
      <c r="G51" s="52">
        <f t="shared" si="25"/>
        <v>800</v>
      </c>
      <c r="H51" s="52">
        <f t="shared" si="25"/>
        <v>400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4714.1530000000002</v>
      </c>
      <c r="E52" s="55">
        <f>SUBTOTAL(9,E50:E51)</f>
        <v>0</v>
      </c>
      <c r="F52" s="55">
        <f>SUBTOTAL(9,F50:F51)</f>
        <v>0</v>
      </c>
      <c r="G52" s="55">
        <f>SUBTOTAL(9,G50:G51)</f>
        <v>3782.93</v>
      </c>
      <c r="H52" s="55">
        <f>SUBTOTAL(9,H50:H51)</f>
        <v>931.22299999999996</v>
      </c>
    </row>
    <row r="53" spans="1:12" ht="8.25" customHeight="1" x14ac:dyDescent="0.25">
      <c r="A53" s="1"/>
      <c r="B53" s="1"/>
      <c r="C53" s="1"/>
    </row>
    <row r="54" spans="1:12" ht="14.25" thickBot="1" x14ac:dyDescent="0.3">
      <c r="A54" s="56"/>
      <c r="B54" s="56" t="s">
        <v>160</v>
      </c>
      <c r="C54" s="97"/>
      <c r="D54" s="57">
        <f>SUBTOTAL(9,D5:D52)</f>
        <v>1453504.1529999999</v>
      </c>
      <c r="E54" s="57">
        <f>SUBTOTAL(9,E5:E52)</f>
        <v>0</v>
      </c>
      <c r="F54" s="57">
        <f>SUBTOTAL(9,F5:F52)</f>
        <v>869274</v>
      </c>
      <c r="G54" s="57">
        <f>SUBTOTAL(9,G5:G52)</f>
        <v>293540.93</v>
      </c>
      <c r="H54" s="57">
        <f>SUBTOTAL(9,H5:H52)</f>
        <v>290689.223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</row>
    <row r="60" spans="1:12" hidden="1" x14ac:dyDescent="0.25">
      <c r="A60" s="58"/>
      <c r="B60" s="58" t="s">
        <v>0</v>
      </c>
      <c r="C60" s="98"/>
      <c r="D60" s="60"/>
      <c r="E60" s="60"/>
      <c r="F60" s="60"/>
      <c r="G60" s="60"/>
      <c r="H60" s="60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52">
        <v>0</v>
      </c>
      <c r="F62" s="52">
        <v>0</v>
      </c>
      <c r="G62" s="52">
        <v>0</v>
      </c>
      <c r="H62" s="52">
        <v>0</v>
      </c>
      <c r="I62" s="70"/>
    </row>
    <row r="63" spans="1:12" hidden="1" x14ac:dyDescent="0.25">
      <c r="A63" s="9"/>
      <c r="B63" s="9" t="s">
        <v>38</v>
      </c>
      <c r="C63" s="99"/>
      <c r="D63" s="53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54">
        <v>0</v>
      </c>
      <c r="F65" s="52">
        <v>4</v>
      </c>
      <c r="G65" s="44">
        <v>12</v>
      </c>
      <c r="H65" s="44">
        <v>12</v>
      </c>
      <c r="I65" s="70"/>
    </row>
    <row r="66" spans="1:12" hidden="1" x14ac:dyDescent="0.25">
      <c r="A66" s="9"/>
      <c r="B66" s="9"/>
      <c r="C66" s="99"/>
      <c r="I66" s="70"/>
    </row>
    <row r="67" spans="1:12" hidden="1" x14ac:dyDescent="0.25">
      <c r="B67" s="5" t="s">
        <v>23</v>
      </c>
      <c r="E67" s="52">
        <f>E68*E69</f>
        <v>0</v>
      </c>
      <c r="F67" s="52">
        <f t="shared" ref="F67:H67" si="28">F68*F69</f>
        <v>0</v>
      </c>
      <c r="G67" s="52">
        <f t="shared" si="28"/>
        <v>0</v>
      </c>
      <c r="H67" s="52">
        <f t="shared" si="28"/>
        <v>0</v>
      </c>
      <c r="I67" s="70"/>
    </row>
    <row r="68" spans="1:12" hidden="1" x14ac:dyDescent="0.25">
      <c r="A68" s="9"/>
      <c r="B68" s="9" t="s">
        <v>129</v>
      </c>
      <c r="C68" s="99" t="s">
        <v>128</v>
      </c>
      <c r="E68" s="52">
        <v>0</v>
      </c>
      <c r="F68" s="52">
        <v>0</v>
      </c>
      <c r="G68" s="52">
        <v>0</v>
      </c>
      <c r="H68" s="52">
        <v>0</v>
      </c>
      <c r="I68" s="70"/>
    </row>
    <row r="69" spans="1:12" hidden="1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hidden="1" x14ac:dyDescent="0.25">
      <c r="I70" s="70"/>
    </row>
    <row r="71" spans="1:12" s="7" customFormat="1" hidden="1" x14ac:dyDescent="0.25">
      <c r="A71" s="5"/>
      <c r="B71" s="5" t="s">
        <v>191</v>
      </c>
      <c r="C71" s="94"/>
      <c r="D71" s="52"/>
      <c r="E71" s="52">
        <f>E72*E73</f>
        <v>0</v>
      </c>
      <c r="F71" s="52">
        <f t="shared" ref="F71:H71" si="29">F72*F73</f>
        <v>0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hidden="1" x14ac:dyDescent="0.25">
      <c r="A72" s="9"/>
      <c r="B72" s="9" t="s">
        <v>193</v>
      </c>
      <c r="C72" s="99" t="s">
        <v>128</v>
      </c>
      <c r="D72" s="52"/>
      <c r="E72" s="52">
        <v>0</v>
      </c>
      <c r="F72" s="52">
        <v>0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hidden="1" x14ac:dyDescent="0.25">
      <c r="A73" s="9"/>
      <c r="B73" s="9" t="s">
        <v>41</v>
      </c>
      <c r="C73" s="99"/>
      <c r="D73" s="52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I74" s="70"/>
    </row>
    <row r="75" spans="1:12" s="7" customFormat="1" hidden="1" x14ac:dyDescent="0.25">
      <c r="A75" s="5"/>
      <c r="B75" s="5" t="s">
        <v>1</v>
      </c>
      <c r="C75" s="94"/>
      <c r="D75" s="52"/>
      <c r="E75" s="52"/>
      <c r="F75" s="52"/>
      <c r="G75" s="44"/>
      <c r="H75" s="44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52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52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52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52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52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52"/>
      <c r="E89" s="54"/>
      <c r="F89" s="52"/>
      <c r="G89" s="44"/>
      <c r="H89" s="44"/>
      <c r="I89" s="6"/>
      <c r="J89" s="6"/>
      <c r="K89" s="6"/>
      <c r="L89" s="6"/>
    </row>
    <row r="90" spans="1:12" hidden="1" x14ac:dyDescent="0.25"/>
    <row r="91" spans="1:12" hidden="1" x14ac:dyDescent="0.25">
      <c r="A91" s="58"/>
      <c r="B91" s="58" t="s">
        <v>10</v>
      </c>
      <c r="C91" s="98"/>
      <c r="D91" s="60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94"/>
      <c r="D92" s="52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94"/>
      <c r="D93" s="52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/>
    <row r="95" spans="1:12" s="7" customFormat="1" hidden="1" x14ac:dyDescent="0.25">
      <c r="A95" s="5"/>
      <c r="B95" s="9" t="s">
        <v>52</v>
      </c>
      <c r="C95" s="94"/>
      <c r="D95" s="52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52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/>
    <row r="98" spans="1:12" hidden="1" x14ac:dyDescent="0.25"/>
    <row r="99" spans="1:12" hidden="1" x14ac:dyDescent="0.25">
      <c r="A99" s="58"/>
      <c r="B99" s="58" t="s">
        <v>194</v>
      </c>
      <c r="C99" s="98"/>
      <c r="D99" s="60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0" t="s">
        <v>163</v>
      </c>
      <c r="D100" s="52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94"/>
      <c r="D101" s="52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/>
    <row r="103" spans="1:12" hidden="1" x14ac:dyDescent="0.25">
      <c r="A103" s="58"/>
      <c r="B103" s="58" t="s">
        <v>148</v>
      </c>
      <c r="C103" s="98"/>
      <c r="D103" s="60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F105" s="52">
        <f>F92</f>
        <v>0</v>
      </c>
      <c r="G105" s="52">
        <f t="shared" ref="G105:H105" si="33">G92</f>
        <v>0</v>
      </c>
      <c r="H105" s="52">
        <f t="shared" si="33"/>
        <v>0</v>
      </c>
    </row>
    <row r="106" spans="1:12" hidden="1" x14ac:dyDescent="0.25">
      <c r="B106" s="45" t="s">
        <v>152</v>
      </c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/>
    </row>
    <row r="109" spans="1:12" hidden="1" x14ac:dyDescent="0.25">
      <c r="A109" s="58"/>
      <c r="B109" s="58" t="s">
        <v>24</v>
      </c>
      <c r="C109" s="98"/>
      <c r="D109" s="60"/>
      <c r="E109" s="60">
        <f>E110*E111</f>
        <v>0</v>
      </c>
      <c r="F109" s="60">
        <f t="shared" ref="F109:H109" si="34">F110*F111</f>
        <v>0</v>
      </c>
      <c r="G109" s="60">
        <f t="shared" si="34"/>
        <v>0</v>
      </c>
      <c r="H109" s="60">
        <f t="shared" si="34"/>
        <v>0</v>
      </c>
    </row>
    <row r="110" spans="1:12" s="7" customFormat="1" hidden="1" x14ac:dyDescent="0.25">
      <c r="A110" s="5"/>
      <c r="B110" s="45" t="s">
        <v>54</v>
      </c>
      <c r="C110" s="94"/>
      <c r="D110" s="52"/>
      <c r="E110" s="52">
        <v>0</v>
      </c>
      <c r="F110" s="52">
        <v>0</v>
      </c>
      <c r="G110" s="52"/>
      <c r="H110" s="52"/>
      <c r="I110" s="6"/>
      <c r="J110" s="6"/>
      <c r="K110" s="6"/>
      <c r="L110" s="6"/>
    </row>
    <row r="111" spans="1:12" s="7" customFormat="1" hidden="1" x14ac:dyDescent="0.25">
      <c r="A111" s="5"/>
      <c r="B111" s="45" t="s">
        <v>55</v>
      </c>
      <c r="C111" s="94"/>
      <c r="D111" s="52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6"/>
      <c r="J111" s="6"/>
      <c r="K111" s="6"/>
      <c r="L111" s="6"/>
    </row>
    <row r="112" spans="1:12" hidden="1" x14ac:dyDescent="0.25"/>
    <row r="113" spans="1:12" hidden="1" x14ac:dyDescent="0.25">
      <c r="A113" s="58"/>
      <c r="B113" s="58" t="s">
        <v>7</v>
      </c>
      <c r="C113" s="98"/>
      <c r="D113" s="60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94"/>
      <c r="D114" s="52"/>
      <c r="E114" s="52"/>
      <c r="F114" s="52"/>
      <c r="G114" s="44"/>
      <c r="H114" s="44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91"/>
      <c r="E116" s="91"/>
      <c r="F116" s="91"/>
      <c r="G116" s="92"/>
      <c r="H116" s="92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91"/>
      <c r="E117" s="91"/>
      <c r="F117" s="91"/>
      <c r="G117" s="92"/>
      <c r="H117" s="92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60"/>
      <c r="E119" s="60"/>
      <c r="F119" s="60"/>
      <c r="G119" s="60"/>
      <c r="H119" s="60"/>
    </row>
    <row r="120" spans="1:12" s="5" customFormat="1" hidden="1" x14ac:dyDescent="0.25">
      <c r="B120" s="63" t="s">
        <v>61</v>
      </c>
      <c r="C120" s="94"/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98"/>
      <c r="D130" s="60"/>
      <c r="E130" s="60"/>
      <c r="F130" s="60"/>
      <c r="G130" s="60"/>
      <c r="H130" s="60"/>
    </row>
    <row r="131" spans="1:12" s="5" customFormat="1" hidden="1" x14ac:dyDescent="0.25">
      <c r="B131" s="47" t="s">
        <v>64</v>
      </c>
      <c r="C131" s="94"/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52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52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C134" s="94"/>
      <c r="D134" s="52"/>
      <c r="E134" s="52">
        <f>E135+E136*E137</f>
        <v>0</v>
      </c>
      <c r="F134" s="52">
        <f t="shared" ref="F134:H134" si="35">F135+F136*F137</f>
        <v>0</v>
      </c>
      <c r="G134" s="52">
        <f t="shared" si="35"/>
        <v>0</v>
      </c>
      <c r="H134" s="52">
        <f t="shared" si="35"/>
        <v>0</v>
      </c>
    </row>
    <row r="135" spans="1:12" hidden="1" x14ac:dyDescent="0.25">
      <c r="B135" s="47" t="s">
        <v>220</v>
      </c>
      <c r="F135" s="52">
        <f>'Rates and GI'!D56*0</f>
        <v>0</v>
      </c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C138" s="94"/>
      <c r="D138" s="52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98"/>
      <c r="D139" s="60"/>
      <c r="E139" s="60">
        <f>E140*E141+E142*E143++E144*E145+E146*E147</f>
        <v>0</v>
      </c>
      <c r="F139" s="60">
        <f t="shared" ref="F139:H139" si="36">F140*F141+F142*F143++F144*F145+F146*F147</f>
        <v>0</v>
      </c>
      <c r="G139" s="60">
        <f t="shared" si="36"/>
        <v>800</v>
      </c>
      <c r="H139" s="60">
        <f t="shared" si="36"/>
        <v>400</v>
      </c>
    </row>
    <row r="140" spans="1:12" hidden="1" x14ac:dyDescent="0.25">
      <c r="B140" s="47" t="s">
        <v>169</v>
      </c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E144" s="52">
        <v>0</v>
      </c>
      <c r="F144" s="52">
        <v>0</v>
      </c>
      <c r="G144" s="52">
        <v>4</v>
      </c>
      <c r="H144" s="52">
        <v>2</v>
      </c>
    </row>
    <row r="145" spans="1:12" ht="27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hidden="1" x14ac:dyDescent="0.25">
      <c r="B146" s="47" t="s">
        <v>354</v>
      </c>
      <c r="C146" s="94"/>
      <c r="D146" s="52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hidden="1" x14ac:dyDescent="0.25">
      <c r="B147" s="47" t="s">
        <v>349</v>
      </c>
      <c r="C147" s="94"/>
      <c r="D147" s="52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9" spans="1:12" x14ac:dyDescent="0.25">
      <c r="A149" s="58"/>
      <c r="B149" s="58" t="s">
        <v>218</v>
      </c>
      <c r="C149" s="98"/>
      <c r="D149" s="60"/>
      <c r="E149" s="60">
        <f>E150+E153+E156+E165+E170</f>
        <v>0</v>
      </c>
      <c r="F149" s="60">
        <f t="shared" ref="F149:H149" si="37">F150+F153+F156+F165+F170</f>
        <v>0</v>
      </c>
      <c r="G149" s="60">
        <f t="shared" si="37"/>
        <v>2982.93</v>
      </c>
      <c r="H149" s="60">
        <f t="shared" si="37"/>
        <v>531.22299999999996</v>
      </c>
    </row>
    <row r="150" spans="1:12" s="5" customFormat="1" x14ac:dyDescent="0.25">
      <c r="B150" s="5" t="s">
        <v>197</v>
      </c>
      <c r="C150" s="94"/>
      <c r="D150" s="52"/>
      <c r="E150" s="52">
        <f>E151+E154*E155</f>
        <v>0</v>
      </c>
      <c r="F150" s="52">
        <f>F151+F154*F155</f>
        <v>0</v>
      </c>
      <c r="G150" s="52">
        <f>G151+G154*G155</f>
        <v>1241.4649999999999</v>
      </c>
      <c r="H150" s="52">
        <f t="shared" ref="H150" si="38">H151+H154*H155</f>
        <v>265.61149999999998</v>
      </c>
    </row>
    <row r="151" spans="1:12" x14ac:dyDescent="0.25">
      <c r="B151" s="47" t="s">
        <v>208</v>
      </c>
      <c r="F151" s="52">
        <f>('Rates and GI'!$D$56+'Rates and GI'!$D$60)*0</f>
        <v>0</v>
      </c>
      <c r="G151" s="52">
        <f>('Rates and GI'!$D$56+'Rates and GI'!$D$60)*1</f>
        <v>1000</v>
      </c>
      <c r="H151" s="52"/>
    </row>
    <row r="152" spans="1:12" hidden="1" x14ac:dyDescent="0.25">
      <c r="B152" s="47" t="s">
        <v>211</v>
      </c>
      <c r="F152" s="52">
        <f>'Rates and GI'!$D$62*0</f>
        <v>0</v>
      </c>
      <c r="G152" s="52">
        <f>'Rates and GI'!$D$62*0</f>
        <v>0</v>
      </c>
      <c r="H152" s="52"/>
    </row>
    <row r="153" spans="1:12" x14ac:dyDescent="0.25">
      <c r="B153" s="5" t="s">
        <v>198</v>
      </c>
      <c r="E153" s="52">
        <f>E154*E155</f>
        <v>0</v>
      </c>
      <c r="F153" s="52">
        <f t="shared" ref="F153:H153" si="39">F154*F155</f>
        <v>0</v>
      </c>
      <c r="G153" s="52">
        <f t="shared" si="39"/>
        <v>241.465</v>
      </c>
      <c r="H153" s="52">
        <f t="shared" si="39"/>
        <v>265.61149999999998</v>
      </c>
    </row>
    <row r="154" spans="1:12" x14ac:dyDescent="0.25">
      <c r="B154" s="47" t="s">
        <v>186</v>
      </c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x14ac:dyDescent="0.25">
      <c r="B155" s="47" t="s">
        <v>185</v>
      </c>
      <c r="F155" s="52">
        <v>0</v>
      </c>
      <c r="G155" s="52">
        <v>10</v>
      </c>
      <c r="H155" s="52">
        <v>11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40">F157+F161</f>
        <v>0</v>
      </c>
      <c r="G156" s="52">
        <f t="shared" si="40"/>
        <v>0</v>
      </c>
      <c r="H156" s="52">
        <f t="shared" si="40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1">F158*F159</f>
        <v>0</v>
      </c>
      <c r="G157" s="52">
        <f t="shared" si="41"/>
        <v>0</v>
      </c>
      <c r="H157" s="52">
        <f t="shared" si="41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2">F162*F163</f>
        <v>0</v>
      </c>
      <c r="G161" s="52">
        <f t="shared" si="42"/>
        <v>0</v>
      </c>
      <c r="H161" s="52">
        <f t="shared" si="42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3">F166*F167*F168</f>
        <v>0</v>
      </c>
      <c r="G165" s="52">
        <f t="shared" si="43"/>
        <v>0</v>
      </c>
      <c r="H165" s="52">
        <f t="shared" si="43"/>
        <v>0</v>
      </c>
    </row>
    <row r="166" spans="1:12" hidden="1" x14ac:dyDescent="0.25">
      <c r="B166" s="47" t="s">
        <v>215</v>
      </c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/>
    <row r="170" spans="1:12" x14ac:dyDescent="0.25">
      <c r="B170" s="5" t="s">
        <v>196</v>
      </c>
      <c r="E170" s="52">
        <f>E171+E172*E173</f>
        <v>0</v>
      </c>
      <c r="F170" s="52">
        <f>F171+F172*F173</f>
        <v>0</v>
      </c>
      <c r="G170" s="52">
        <f>G171+G172*G173</f>
        <v>1500</v>
      </c>
      <c r="H170" s="52">
        <f>H171+H172*H173</f>
        <v>0</v>
      </c>
    </row>
    <row r="171" spans="1:12" x14ac:dyDescent="0.25">
      <c r="B171" s="47" t="s">
        <v>172</v>
      </c>
      <c r="F171" s="52">
        <f>'Rates and GI'!D56*0</f>
        <v>0</v>
      </c>
      <c r="G171" s="44">
        <f>'Rates and GI'!D56*2</f>
        <v>1000</v>
      </c>
    </row>
    <row r="172" spans="1:12" x14ac:dyDescent="0.25">
      <c r="B172" s="47" t="s">
        <v>178</v>
      </c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x14ac:dyDescent="0.25">
      <c r="B173" s="47" t="s">
        <v>179</v>
      </c>
      <c r="F173" s="52">
        <v>0</v>
      </c>
      <c r="G173" s="44">
        <v>10000</v>
      </c>
    </row>
    <row r="175" spans="1:12" x14ac:dyDescent="0.25">
      <c r="A175" s="58"/>
      <c r="B175" s="86" t="s">
        <v>429</v>
      </c>
      <c r="C175" s="98"/>
      <c r="D175" s="60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102">
        <f>SUM(E176:H176)</f>
        <v>20</v>
      </c>
      <c r="D176" s="52"/>
      <c r="E176" s="52">
        <v>0</v>
      </c>
      <c r="F176" s="52">
        <v>12</v>
      </c>
      <c r="G176" s="52">
        <v>4</v>
      </c>
      <c r="H176" s="52">
        <v>4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Soft!E7</f>
        <v>1448790</v>
      </c>
      <c r="D177" s="52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0</v>
      </c>
      <c r="F178" s="52">
        <f t="shared" ref="F178:H178" si="44">$C$177/$C$176*F176</f>
        <v>869274</v>
      </c>
      <c r="G178" s="52">
        <f t="shared" si="44"/>
        <v>289758</v>
      </c>
      <c r="H178" s="52">
        <f t="shared" si="44"/>
        <v>289758</v>
      </c>
      <c r="I178" s="70"/>
    </row>
    <row r="179" spans="1:12" x14ac:dyDescent="0.25">
      <c r="A179" s="58"/>
      <c r="B179" s="86"/>
      <c r="C179" s="98"/>
      <c r="D179" s="60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180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52" customWidth="1"/>
    <col min="5" max="5" width="12" style="52" bestFit="1" customWidth="1"/>
    <col min="6" max="6" width="10.28515625" style="52" bestFit="1" customWidth="1"/>
    <col min="7" max="7" width="10.28515625" style="44" bestFit="1" customWidth="1"/>
    <col min="8" max="8" width="10.42578125" style="44" bestFit="1" customWidth="1"/>
    <col min="9" max="16384" width="9.140625" style="6"/>
  </cols>
  <sheetData>
    <row r="1" spans="1:12" s="140" customFormat="1" ht="34.5" x14ac:dyDescent="0.3">
      <c r="A1" s="227">
        <v>30</v>
      </c>
      <c r="B1" s="228" t="s">
        <v>424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2827.9080951964497</v>
      </c>
      <c r="E5" s="52">
        <f>E67</f>
        <v>0</v>
      </c>
      <c r="F5" s="52">
        <f t="shared" ref="F5:H5" si="1">F67</f>
        <v>774.27104999999995</v>
      </c>
      <c r="G5" s="52">
        <f t="shared" si="1"/>
        <v>1211.3470577249998</v>
      </c>
      <c r="H5" s="52">
        <f t="shared" si="1"/>
        <v>842.28998747144988</v>
      </c>
      <c r="I5" s="70"/>
    </row>
    <row r="6" spans="1:12" x14ac:dyDescent="0.25">
      <c r="B6" s="17" t="s">
        <v>191</v>
      </c>
      <c r="D6" s="52">
        <f t="shared" si="0"/>
        <v>14864.842091722854</v>
      </c>
      <c r="E6" s="52">
        <f>E71</f>
        <v>0</v>
      </c>
      <c r="F6" s="52">
        <f t="shared" ref="F6:H6" si="2">F71</f>
        <v>5456.3752320000003</v>
      </c>
      <c r="G6" s="52">
        <f t="shared" si="2"/>
        <v>5513.1556367579997</v>
      </c>
      <c r="H6" s="52">
        <f t="shared" si="2"/>
        <v>3895.3112229648536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17692.750186919304</v>
      </c>
      <c r="E7" s="55">
        <f>SUBTOTAL(9,E5:E6)</f>
        <v>0</v>
      </c>
      <c r="F7" s="55">
        <f>SUBTOTAL(9,F5:F6)</f>
        <v>6230.6462820000006</v>
      </c>
      <c r="G7" s="55">
        <f>SUBTOTAL(9,G5:G6)</f>
        <v>6724.5026944829997</v>
      </c>
      <c r="H7" s="55">
        <f>SUBTOTAL(9,H5:H6)</f>
        <v>4737.6012104363035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3646.6444733333337</v>
      </c>
      <c r="E10" s="52">
        <f>E91</f>
        <v>0</v>
      </c>
      <c r="F10" s="52">
        <f t="shared" ref="F10:H10" si="4">F91</f>
        <v>1823.3222366666669</v>
      </c>
      <c r="G10" s="52">
        <f t="shared" si="4"/>
        <v>0</v>
      </c>
      <c r="H10" s="52">
        <f t="shared" si="4"/>
        <v>1823.3222366666669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3646.6444733333337</v>
      </c>
      <c r="E12" s="55">
        <f t="shared" ref="E12:H12" si="5">SUBTOTAL(9,E10:E11)</f>
        <v>0</v>
      </c>
      <c r="F12" s="55">
        <f t="shared" si="5"/>
        <v>1823.3222366666669</v>
      </c>
      <c r="G12" s="55">
        <f t="shared" si="5"/>
        <v>0</v>
      </c>
      <c r="H12" s="55">
        <f t="shared" si="5"/>
        <v>1823.3222366666669</v>
      </c>
      <c r="I12" s="70"/>
    </row>
    <row r="13" spans="1:12" ht="4.5" customHeight="1" x14ac:dyDescent="0.25"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2326.618154161104</v>
      </c>
      <c r="E15" s="52">
        <f>E99</f>
        <v>0</v>
      </c>
      <c r="F15" s="52">
        <f t="shared" ref="F15:H15" si="7">F99</f>
        <v>743.12691355000004</v>
      </c>
      <c r="G15" s="52">
        <f t="shared" si="7"/>
        <v>775.08137083265001</v>
      </c>
      <c r="H15" s="52">
        <f t="shared" si="7"/>
        <v>808.40986977845387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2326.618154161104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808.40986977845387</v>
      </c>
      <c r="I17" s="70"/>
    </row>
    <row r="18" spans="1:12" ht="5.25" customHeight="1" x14ac:dyDescent="0.25"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6" customHeight="1" x14ac:dyDescent="0.25"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1073.4547968899999</v>
      </c>
      <c r="E25" s="52">
        <f>E109</f>
        <v>0</v>
      </c>
      <c r="F25" s="52">
        <f t="shared" ref="F25:H25" si="13">F109</f>
        <v>375.47999999999996</v>
      </c>
      <c r="G25" s="52">
        <f t="shared" si="13"/>
        <v>391.62563999999992</v>
      </c>
      <c r="H25" s="52">
        <f t="shared" si="13"/>
        <v>306.34915688999996</v>
      </c>
      <c r="I25" s="70"/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  <c r="I26" s="70"/>
    </row>
    <row r="27" spans="1:12" x14ac:dyDescent="0.25">
      <c r="B27" s="17" t="s">
        <v>432</v>
      </c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1073.4547968899999</v>
      </c>
      <c r="E28" s="55">
        <f t="shared" ref="E28:H28" si="15">SUBTOTAL(9,E25:E27)</f>
        <v>0</v>
      </c>
      <c r="F28" s="55">
        <f t="shared" si="15"/>
        <v>375.47999999999996</v>
      </c>
      <c r="G28" s="55">
        <f t="shared" si="15"/>
        <v>391.62563999999992</v>
      </c>
      <c r="H28" s="55">
        <f t="shared" si="15"/>
        <v>306.34915688999996</v>
      </c>
      <c r="I28" s="70"/>
    </row>
    <row r="29" spans="1:12" ht="5.25" customHeight="1" x14ac:dyDescent="0.25"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1"/>
      <c r="D39" s="52">
        <f t="shared" si="18"/>
        <v>0</v>
      </c>
    </row>
    <row r="40" spans="1:12" x14ac:dyDescent="0.25">
      <c r="A40" s="2"/>
      <c r="B40" s="2" t="s">
        <v>19</v>
      </c>
      <c r="C40" s="1"/>
      <c r="D40" s="52">
        <f t="shared" si="18"/>
        <v>0</v>
      </c>
    </row>
    <row r="41" spans="1:12" x14ac:dyDescent="0.25">
      <c r="A41" s="3"/>
      <c r="B41" s="3" t="s">
        <v>13</v>
      </c>
      <c r="C41" s="96"/>
      <c r="D41" s="52">
        <f t="shared" si="18"/>
        <v>0</v>
      </c>
    </row>
    <row r="42" spans="1:12" x14ac:dyDescent="0.25">
      <c r="A42" s="3"/>
      <c r="B42" s="3" t="s">
        <v>22</v>
      </c>
      <c r="C42" s="96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96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108988</v>
      </c>
      <c r="E46" s="52">
        <f>E178</f>
        <v>0</v>
      </c>
      <c r="F46" s="52">
        <f t="shared" ref="F46:H46" si="21">F178</f>
        <v>0</v>
      </c>
      <c r="G46" s="44">
        <f t="shared" si="21"/>
        <v>0</v>
      </c>
      <c r="H46" s="44">
        <f t="shared" si="21"/>
        <v>108988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108988</v>
      </c>
      <c r="E47" s="55">
        <f t="shared" ref="E47:H47" si="22">SUBTOTAL(9,E46)</f>
        <v>0</v>
      </c>
      <c r="F47" s="55">
        <f t="shared" si="22"/>
        <v>0</v>
      </c>
      <c r="G47" s="55">
        <f t="shared" si="22"/>
        <v>0</v>
      </c>
      <c r="H47" s="55">
        <f t="shared" si="22"/>
        <v>108988</v>
      </c>
    </row>
    <row r="48" spans="1:12" ht="4.5" customHeight="1" x14ac:dyDescent="0.25">
      <c r="A48" s="3"/>
      <c r="B48" s="6"/>
      <c r="C48" s="96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E149</f>
        <v>0</v>
      </c>
      <c r="F50" s="52">
        <f t="shared" ref="F50:H50" si="24">F149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450</v>
      </c>
      <c r="E51" s="52">
        <f>E139</f>
        <v>0</v>
      </c>
      <c r="F51" s="52">
        <f t="shared" ref="F51:H51" si="25">F139</f>
        <v>0</v>
      </c>
      <c r="G51" s="52">
        <f t="shared" si="25"/>
        <v>100</v>
      </c>
      <c r="H51" s="52">
        <f t="shared" si="25"/>
        <v>350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450</v>
      </c>
      <c r="E52" s="55">
        <f>SUBTOTAL(9,E50:E51)</f>
        <v>0</v>
      </c>
      <c r="F52" s="55">
        <f>SUBTOTAL(9,F50:F51)</f>
        <v>0</v>
      </c>
      <c r="G52" s="55">
        <f>SUBTOTAL(9,G50:G51)</f>
        <v>100</v>
      </c>
      <c r="H52" s="55">
        <f>SUBTOTAL(9,H50:H51)</f>
        <v>350</v>
      </c>
    </row>
    <row r="53" spans="1:12" ht="5.25" customHeight="1" x14ac:dyDescent="0.25">
      <c r="A53" s="1"/>
      <c r="B53" s="1"/>
      <c r="C53" s="1"/>
    </row>
    <row r="54" spans="1:12" ht="14.25" thickBot="1" x14ac:dyDescent="0.3">
      <c r="A54" s="56"/>
      <c r="B54" s="56" t="s">
        <v>160</v>
      </c>
      <c r="C54" s="97"/>
      <c r="D54" s="57">
        <f>SUBTOTAL(9,D5:D52)</f>
        <v>134177.46761130373</v>
      </c>
      <c r="E54" s="57">
        <f>SUBTOTAL(9,E5:E52)</f>
        <v>0</v>
      </c>
      <c r="F54" s="57">
        <f>SUBTOTAL(9,F5:F52)</f>
        <v>9172.5754322166667</v>
      </c>
      <c r="G54" s="57">
        <f>SUBTOTAL(9,G5:G52)</f>
        <v>7991.2097053156504</v>
      </c>
      <c r="H54" s="57">
        <f>SUBTOTAL(9,H5:H52)</f>
        <v>117013.68247377142</v>
      </c>
    </row>
    <row r="55" spans="1:12" ht="14.25" thickBot="1" x14ac:dyDescent="0.3">
      <c r="A55" s="1"/>
      <c r="B55" s="1"/>
      <c r="C55" s="1"/>
      <c r="D55" s="36"/>
      <c r="E55" s="36"/>
      <c r="F55" s="36"/>
      <c r="G55" s="29"/>
      <c r="H55" s="29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  <c r="D57" s="36"/>
      <c r="E57" s="36"/>
      <c r="F57" s="36"/>
      <c r="G57" s="29"/>
      <c r="H57" s="29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  <c r="D59" s="36"/>
      <c r="E59" s="36"/>
      <c r="F59" s="36"/>
      <c r="G59" s="29"/>
      <c r="H59" s="29"/>
    </row>
    <row r="60" spans="1:12" hidden="1" x14ac:dyDescent="0.25">
      <c r="A60" s="58"/>
      <c r="B60" s="58" t="s">
        <v>0</v>
      </c>
      <c r="C60" s="98"/>
      <c r="D60" s="60"/>
      <c r="E60" s="60"/>
      <c r="F60" s="60"/>
      <c r="G60" s="60"/>
      <c r="H60" s="60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52">
        <v>0</v>
      </c>
      <c r="F62" s="52">
        <v>0</v>
      </c>
      <c r="G62" s="52">
        <v>0</v>
      </c>
      <c r="H62" s="52">
        <v>0</v>
      </c>
      <c r="I62" s="70"/>
    </row>
    <row r="63" spans="1:12" hidden="1" x14ac:dyDescent="0.25">
      <c r="A63" s="9"/>
      <c r="B63" s="9" t="s">
        <v>38</v>
      </c>
      <c r="C63" s="99"/>
      <c r="D63" s="53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54">
        <v>0</v>
      </c>
      <c r="F65" s="52">
        <v>4</v>
      </c>
      <c r="G65" s="44">
        <v>12</v>
      </c>
      <c r="H65" s="44">
        <v>12</v>
      </c>
      <c r="I65" s="70"/>
    </row>
    <row r="66" spans="1:12" hidden="1" x14ac:dyDescent="0.25">
      <c r="A66" s="9"/>
      <c r="B66" s="9"/>
      <c r="C66" s="99"/>
      <c r="I66" s="70"/>
    </row>
    <row r="67" spans="1:12" x14ac:dyDescent="0.25">
      <c r="B67" s="5" t="s">
        <v>23</v>
      </c>
      <c r="E67" s="52">
        <f>E68*E69</f>
        <v>0</v>
      </c>
      <c r="F67" s="52">
        <f t="shared" ref="F67:H67" si="28">F68*F69</f>
        <v>774.27104999999995</v>
      </c>
      <c r="G67" s="52">
        <f t="shared" si="28"/>
        <v>1211.3470577249998</v>
      </c>
      <c r="H67" s="52">
        <f t="shared" si="28"/>
        <v>842.28998747144988</v>
      </c>
      <c r="I67" s="70"/>
    </row>
    <row r="68" spans="1:12" x14ac:dyDescent="0.25">
      <c r="A68" s="9"/>
      <c r="B68" s="9" t="s">
        <v>129</v>
      </c>
      <c r="C68" s="99" t="s">
        <v>128</v>
      </c>
      <c r="E68" s="52">
        <v>0</v>
      </c>
      <c r="F68" s="52">
        <v>42</v>
      </c>
      <c r="G68" s="52">
        <f>42+21</f>
        <v>63</v>
      </c>
      <c r="H68" s="52">
        <v>42</v>
      </c>
      <c r="I68" s="70"/>
    </row>
    <row r="69" spans="1:12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x14ac:dyDescent="0.25">
      <c r="I70" s="70"/>
    </row>
    <row r="71" spans="1:12" s="7" customFormat="1" x14ac:dyDescent="0.25">
      <c r="A71" s="5"/>
      <c r="B71" s="5" t="s">
        <v>191</v>
      </c>
      <c r="C71" s="94"/>
      <c r="D71" s="52"/>
      <c r="E71" s="52">
        <f>E72*E73</f>
        <v>0</v>
      </c>
      <c r="F71" s="52">
        <f t="shared" ref="F71:H71" si="29">F72*F73</f>
        <v>5456.3752320000003</v>
      </c>
      <c r="G71" s="52">
        <f t="shared" si="29"/>
        <v>5513.1556367579997</v>
      </c>
      <c r="H71" s="52">
        <f t="shared" si="29"/>
        <v>3895.3112229648536</v>
      </c>
      <c r="I71" s="70"/>
      <c r="J71" s="6"/>
      <c r="K71" s="6"/>
      <c r="L71" s="6"/>
    </row>
    <row r="72" spans="1:12" s="7" customFormat="1" x14ac:dyDescent="0.25">
      <c r="A72" s="9"/>
      <c r="B72" s="9" t="s">
        <v>193</v>
      </c>
      <c r="C72" s="99" t="s">
        <v>128</v>
      </c>
      <c r="D72" s="52"/>
      <c r="E72" s="52">
        <v>0</v>
      </c>
      <c r="F72" s="52">
        <f>21+11</f>
        <v>32</v>
      </c>
      <c r="G72" s="52">
        <f>21+10</f>
        <v>31</v>
      </c>
      <c r="H72" s="52">
        <v>21</v>
      </c>
      <c r="I72" s="70"/>
      <c r="J72" s="6"/>
      <c r="K72" s="6"/>
      <c r="L72" s="6"/>
    </row>
    <row r="73" spans="1:12" s="7" customFormat="1" x14ac:dyDescent="0.25">
      <c r="A73" s="9"/>
      <c r="B73" s="9" t="s">
        <v>41</v>
      </c>
      <c r="C73" s="99"/>
      <c r="D73" s="52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I74" s="70"/>
    </row>
    <row r="75" spans="1:12" s="7" customFormat="1" hidden="1" x14ac:dyDescent="0.25">
      <c r="A75" s="5"/>
      <c r="B75" s="5" t="s">
        <v>1</v>
      </c>
      <c r="C75" s="94"/>
      <c r="D75" s="52"/>
      <c r="E75" s="52"/>
      <c r="F75" s="52"/>
      <c r="G75" s="44"/>
      <c r="H75" s="44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52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52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52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52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52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52"/>
      <c r="E89" s="54"/>
      <c r="F89" s="52"/>
      <c r="G89" s="44"/>
      <c r="H89" s="44"/>
      <c r="I89" s="6"/>
      <c r="J89" s="6"/>
      <c r="K89" s="6"/>
      <c r="L89" s="6"/>
    </row>
    <row r="91" spans="1:12" x14ac:dyDescent="0.25">
      <c r="A91" s="58"/>
      <c r="B91" s="58" t="s">
        <v>10</v>
      </c>
      <c r="C91" s="98"/>
      <c r="D91" s="60"/>
      <c r="E91" s="60">
        <f>E92*E93+E95*E96</f>
        <v>0</v>
      </c>
      <c r="F91" s="60">
        <f t="shared" ref="F91:H91" si="30">F92*F93+F95*F96</f>
        <v>1823.3222366666669</v>
      </c>
      <c r="G91" s="60">
        <f t="shared" si="30"/>
        <v>0</v>
      </c>
      <c r="H91" s="60">
        <f t="shared" si="30"/>
        <v>1823.3222366666669</v>
      </c>
    </row>
    <row r="92" spans="1:12" s="7" customFormat="1" x14ac:dyDescent="0.25">
      <c r="A92" s="5"/>
      <c r="B92" s="9" t="s">
        <v>50</v>
      </c>
      <c r="C92" s="94"/>
      <c r="D92" s="52"/>
      <c r="E92" s="52">
        <v>0</v>
      </c>
      <c r="F92" s="52">
        <v>2</v>
      </c>
      <c r="G92" s="52">
        <v>0</v>
      </c>
      <c r="H92" s="52">
        <v>2</v>
      </c>
      <c r="I92" s="6"/>
      <c r="J92" s="6"/>
      <c r="K92" s="6"/>
      <c r="L92" s="6"/>
    </row>
    <row r="93" spans="1:12" s="7" customFormat="1" x14ac:dyDescent="0.25">
      <c r="A93" s="5"/>
      <c r="B93" s="9" t="s">
        <v>51</v>
      </c>
      <c r="C93" s="94"/>
      <c r="D93" s="52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/>
    <row r="95" spans="1:12" s="7" customFormat="1" hidden="1" x14ac:dyDescent="0.25">
      <c r="A95" s="5"/>
      <c r="B95" s="9" t="s">
        <v>52</v>
      </c>
      <c r="C95" s="94"/>
      <c r="D95" s="52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52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/>
    <row r="99" spans="1:12" x14ac:dyDescent="0.25">
      <c r="A99" s="58"/>
      <c r="B99" s="58" t="s">
        <v>194</v>
      </c>
      <c r="C99" s="98"/>
      <c r="D99" s="60"/>
      <c r="E99" s="60">
        <f>E100*E101</f>
        <v>0</v>
      </c>
      <c r="F99" s="60">
        <f t="shared" ref="F99:H99" si="31">F100*F101</f>
        <v>743.12691355000004</v>
      </c>
      <c r="G99" s="60">
        <f t="shared" si="31"/>
        <v>775.08137083265001</v>
      </c>
      <c r="H99" s="60">
        <f t="shared" si="31"/>
        <v>808.40986977845387</v>
      </c>
    </row>
    <row r="100" spans="1:12" s="7" customFormat="1" x14ac:dyDescent="0.25">
      <c r="A100" s="10"/>
      <c r="B100" s="45" t="s">
        <v>162</v>
      </c>
      <c r="C100" s="100" t="s">
        <v>163</v>
      </c>
      <c r="D100" s="52"/>
      <c r="E100" s="52">
        <v>0</v>
      </c>
      <c r="F100" s="52">
        <v>1</v>
      </c>
      <c r="G100" s="52">
        <v>1</v>
      </c>
      <c r="H100" s="52">
        <v>1</v>
      </c>
      <c r="I100" s="6"/>
      <c r="J100" s="6"/>
      <c r="K100" s="6"/>
      <c r="L100" s="6"/>
    </row>
    <row r="101" spans="1:12" s="7" customFormat="1" x14ac:dyDescent="0.25">
      <c r="A101" s="5"/>
      <c r="B101" s="45" t="s">
        <v>159</v>
      </c>
      <c r="C101" s="94"/>
      <c r="D101" s="52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3" spans="1:12" hidden="1" x14ac:dyDescent="0.25">
      <c r="A103" s="58"/>
      <c r="B103" s="58" t="s">
        <v>148</v>
      </c>
      <c r="C103" s="98"/>
      <c r="D103" s="60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F105" s="52">
        <v>0</v>
      </c>
      <c r="G105" s="52">
        <v>0</v>
      </c>
      <c r="H105" s="52">
        <v>0</v>
      </c>
    </row>
    <row r="106" spans="1:12" hidden="1" x14ac:dyDescent="0.25">
      <c r="B106" s="45" t="s">
        <v>152</v>
      </c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</row>
    <row r="108" spans="1:12" hidden="1" x14ac:dyDescent="0.25">
      <c r="B108" s="45"/>
    </row>
    <row r="109" spans="1:12" x14ac:dyDescent="0.25">
      <c r="A109" s="58"/>
      <c r="B109" s="58" t="s">
        <v>24</v>
      </c>
      <c r="C109" s="98"/>
      <c r="D109" s="60"/>
      <c r="E109" s="60">
        <f>E110*E111</f>
        <v>0</v>
      </c>
      <c r="F109" s="60">
        <f t="shared" ref="F109:H109" si="33">F110*F111</f>
        <v>375.47999999999996</v>
      </c>
      <c r="G109" s="60">
        <f t="shared" si="33"/>
        <v>391.62563999999992</v>
      </c>
      <c r="H109" s="60">
        <f t="shared" si="33"/>
        <v>306.34915688999996</v>
      </c>
    </row>
    <row r="110" spans="1:12" s="7" customFormat="1" x14ac:dyDescent="0.25">
      <c r="A110" s="5"/>
      <c r="B110" s="45" t="s">
        <v>54</v>
      </c>
      <c r="C110" s="94"/>
      <c r="D110" s="52"/>
      <c r="E110" s="52">
        <v>0</v>
      </c>
      <c r="F110" s="52">
        <v>60</v>
      </c>
      <c r="G110" s="52">
        <v>60</v>
      </c>
      <c r="H110" s="52">
        <v>45</v>
      </c>
      <c r="I110" s="6"/>
      <c r="J110" s="6"/>
      <c r="K110" s="6"/>
      <c r="L110" s="6"/>
    </row>
    <row r="111" spans="1:12" s="7" customFormat="1" x14ac:dyDescent="0.25">
      <c r="A111" s="5"/>
      <c r="B111" s="45" t="s">
        <v>55</v>
      </c>
      <c r="C111" s="94"/>
      <c r="D111" s="52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6"/>
      <c r="J111" s="6"/>
      <c r="K111" s="6"/>
      <c r="L111" s="6"/>
    </row>
    <row r="113" spans="1:12" hidden="1" x14ac:dyDescent="0.25">
      <c r="A113" s="58"/>
      <c r="B113" s="58" t="s">
        <v>7</v>
      </c>
      <c r="C113" s="98"/>
      <c r="D113" s="60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94"/>
      <c r="D114" s="52"/>
      <c r="E114" s="52"/>
      <c r="F114" s="52"/>
      <c r="G114" s="44"/>
      <c r="H114" s="44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91"/>
      <c r="E116" s="91"/>
      <c r="F116" s="91"/>
      <c r="G116" s="92"/>
      <c r="H116" s="92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91"/>
      <c r="E117" s="91"/>
      <c r="F117" s="91"/>
      <c r="G117" s="92"/>
      <c r="H117" s="92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60"/>
      <c r="E119" s="60"/>
      <c r="F119" s="60"/>
      <c r="G119" s="60"/>
      <c r="H119" s="60"/>
    </row>
    <row r="120" spans="1:12" s="5" customFormat="1" hidden="1" x14ac:dyDescent="0.25">
      <c r="B120" s="63" t="s">
        <v>61</v>
      </c>
      <c r="C120" s="94"/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98"/>
      <c r="D130" s="60"/>
      <c r="E130" s="60"/>
      <c r="F130" s="60"/>
      <c r="G130" s="60"/>
      <c r="H130" s="60"/>
    </row>
    <row r="131" spans="1:12" s="5" customFormat="1" hidden="1" x14ac:dyDescent="0.25">
      <c r="B131" s="47" t="s">
        <v>64</v>
      </c>
      <c r="C131" s="94"/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52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52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C134" s="94"/>
      <c r="D134" s="52"/>
      <c r="E134" s="52">
        <f>E135+E136*E137</f>
        <v>0</v>
      </c>
      <c r="F134" s="52">
        <f t="shared" ref="F134:H134" si="34">F135+F136*F137</f>
        <v>0</v>
      </c>
      <c r="G134" s="52">
        <f t="shared" si="34"/>
        <v>0</v>
      </c>
      <c r="H134" s="52">
        <f t="shared" si="34"/>
        <v>0</v>
      </c>
    </row>
    <row r="135" spans="1:12" hidden="1" x14ac:dyDescent="0.25">
      <c r="B135" s="47" t="s">
        <v>220</v>
      </c>
      <c r="F135" s="52">
        <f>'Rates and GI'!D56*0</f>
        <v>0</v>
      </c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C138" s="94"/>
      <c r="D138" s="52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98"/>
      <c r="D139" s="60"/>
      <c r="E139" s="60">
        <f>E140*E141+E142*E143++E144*E145+E146*E147</f>
        <v>0</v>
      </c>
      <c r="F139" s="60">
        <f t="shared" ref="F139:H139" si="35">F140*F141+F142*F143++F144*F145+F146*F147</f>
        <v>0</v>
      </c>
      <c r="G139" s="60">
        <f t="shared" si="35"/>
        <v>100</v>
      </c>
      <c r="H139" s="60">
        <f t="shared" si="35"/>
        <v>350</v>
      </c>
    </row>
    <row r="140" spans="1:12" x14ac:dyDescent="0.25">
      <c r="B140" s="47" t="s">
        <v>169</v>
      </c>
      <c r="G140" s="52">
        <v>0</v>
      </c>
      <c r="H140" s="52"/>
    </row>
    <row r="141" spans="1:12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x14ac:dyDescent="0.25">
      <c r="B142" s="47" t="s">
        <v>167</v>
      </c>
      <c r="F142" s="52">
        <v>0</v>
      </c>
      <c r="G142" s="52">
        <v>0</v>
      </c>
      <c r="H142" s="52">
        <v>0</v>
      </c>
    </row>
    <row r="143" spans="1:12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E144" s="52">
        <v>0</v>
      </c>
      <c r="F144" s="52">
        <v>0</v>
      </c>
      <c r="G144" s="52">
        <v>0</v>
      </c>
      <c r="H144" s="52">
        <v>1</v>
      </c>
    </row>
    <row r="145" spans="1:12" ht="27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x14ac:dyDescent="0.25">
      <c r="B146" s="47" t="s">
        <v>354</v>
      </c>
      <c r="C146" s="94"/>
      <c r="D146" s="52"/>
      <c r="E146" s="52">
        <v>0</v>
      </c>
      <c r="F146" s="52">
        <v>0</v>
      </c>
      <c r="G146" s="44">
        <v>2</v>
      </c>
      <c r="H146" s="44">
        <v>3</v>
      </c>
      <c r="I146" s="6"/>
      <c r="J146" s="6"/>
      <c r="K146" s="6"/>
      <c r="L146" s="6"/>
    </row>
    <row r="147" spans="1:12" s="5" customFormat="1" x14ac:dyDescent="0.25">
      <c r="B147" s="47" t="s">
        <v>349</v>
      </c>
      <c r="C147" s="94"/>
      <c r="D147" s="52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9" spans="1:12" hidden="1" x14ac:dyDescent="0.25">
      <c r="A149" s="58"/>
      <c r="B149" s="58" t="s">
        <v>218</v>
      </c>
      <c r="C149" s="98"/>
      <c r="D149" s="60"/>
      <c r="E149" s="60">
        <f>E150+E153+E156+E165+E170</f>
        <v>0</v>
      </c>
      <c r="F149" s="60">
        <f t="shared" ref="F149:H149" si="36">F150+F153+F156+F165+F170</f>
        <v>0</v>
      </c>
      <c r="G149" s="60">
        <f t="shared" si="36"/>
        <v>0</v>
      </c>
      <c r="H149" s="60">
        <f t="shared" si="36"/>
        <v>0</v>
      </c>
    </row>
    <row r="150" spans="1:12" s="5" customFormat="1" hidden="1" x14ac:dyDescent="0.25">
      <c r="B150" s="5" t="s">
        <v>197</v>
      </c>
      <c r="C150" s="94"/>
      <c r="D150" s="52"/>
      <c r="E150" s="52">
        <f>E151+E154*E155</f>
        <v>0</v>
      </c>
      <c r="F150" s="52">
        <f>F151+F154*F155</f>
        <v>0</v>
      </c>
      <c r="G150" s="52">
        <f>G151+G154*G155</f>
        <v>0</v>
      </c>
      <c r="H150" s="52">
        <f t="shared" ref="H150" si="37">H151+H154*H155</f>
        <v>0</v>
      </c>
    </row>
    <row r="151" spans="1:12" hidden="1" x14ac:dyDescent="0.25">
      <c r="B151" s="47" t="s">
        <v>208</v>
      </c>
      <c r="F151" s="52">
        <f>('Rates and GI'!$D$56+'Rates and GI'!$D$60)*0</f>
        <v>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F152" s="52">
        <f>'Rates and GI'!$D$62*0</f>
        <v>0</v>
      </c>
      <c r="G152" s="52">
        <f>'Rates and GI'!$D$62*0</f>
        <v>0</v>
      </c>
      <c r="H152" s="52"/>
    </row>
    <row r="153" spans="1:12" hidden="1" x14ac:dyDescent="0.25">
      <c r="B153" s="5" t="s">
        <v>198</v>
      </c>
      <c r="E153" s="52">
        <f>E154*E155</f>
        <v>0</v>
      </c>
      <c r="F153" s="52">
        <f t="shared" ref="F153:H153" si="38">F154*F155</f>
        <v>0</v>
      </c>
      <c r="G153" s="52">
        <f t="shared" si="38"/>
        <v>0</v>
      </c>
      <c r="H153" s="52">
        <f t="shared" si="38"/>
        <v>0</v>
      </c>
    </row>
    <row r="154" spans="1:12" hidden="1" x14ac:dyDescent="0.25">
      <c r="B154" s="47" t="s">
        <v>186</v>
      </c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hidden="1" x14ac:dyDescent="0.25">
      <c r="B155" s="47" t="s">
        <v>185</v>
      </c>
      <c r="F155" s="52">
        <v>0</v>
      </c>
      <c r="G155" s="52">
        <v>0</v>
      </c>
      <c r="H155" s="52">
        <v>0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39">F157+F161</f>
        <v>0</v>
      </c>
      <c r="G156" s="52">
        <f t="shared" si="39"/>
        <v>0</v>
      </c>
      <c r="H156" s="52">
        <f t="shared" si="39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0">F158*F159</f>
        <v>0</v>
      </c>
      <c r="G157" s="52">
        <f t="shared" si="40"/>
        <v>0</v>
      </c>
      <c r="H157" s="52">
        <f t="shared" si="40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1">F162*F163</f>
        <v>0</v>
      </c>
      <c r="G161" s="52">
        <f t="shared" si="41"/>
        <v>0</v>
      </c>
      <c r="H161" s="52">
        <f t="shared" si="41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2">F166*F167*F168</f>
        <v>0</v>
      </c>
      <c r="G165" s="52">
        <f t="shared" si="42"/>
        <v>0</v>
      </c>
      <c r="H165" s="52">
        <f t="shared" si="42"/>
        <v>0</v>
      </c>
    </row>
    <row r="166" spans="1:12" hidden="1" x14ac:dyDescent="0.25">
      <c r="B166" s="47" t="s">
        <v>215</v>
      </c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/>
    <row r="170" spans="1:12" hidden="1" x14ac:dyDescent="0.25">
      <c r="B170" s="5" t="s">
        <v>196</v>
      </c>
      <c r="E170" s="52">
        <f>E171+E172*E173</f>
        <v>0</v>
      </c>
      <c r="F170" s="52">
        <f>F171+F172*F173</f>
        <v>0</v>
      </c>
      <c r="G170" s="52">
        <f>G171+G172*G173</f>
        <v>0</v>
      </c>
      <c r="H170" s="52">
        <f>H171+H172*H173</f>
        <v>0</v>
      </c>
    </row>
    <row r="171" spans="1:12" hidden="1" x14ac:dyDescent="0.25">
      <c r="B171" s="47" t="s">
        <v>172</v>
      </c>
      <c r="F171" s="52">
        <f>'Rates and GI'!D56*0</f>
        <v>0</v>
      </c>
    </row>
    <row r="172" spans="1:12" hidden="1" x14ac:dyDescent="0.25">
      <c r="B172" s="47" t="s">
        <v>178</v>
      </c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hidden="1" x14ac:dyDescent="0.25">
      <c r="B173" s="47" t="s">
        <v>179</v>
      </c>
      <c r="F173" s="52">
        <v>0</v>
      </c>
      <c r="G173" s="44">
        <v>0</v>
      </c>
    </row>
    <row r="174" spans="1:12" hidden="1" x14ac:dyDescent="0.25"/>
    <row r="175" spans="1:12" x14ac:dyDescent="0.25">
      <c r="A175" s="58"/>
      <c r="B175" s="86" t="s">
        <v>429</v>
      </c>
      <c r="C175" s="98"/>
      <c r="D175" s="60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102">
        <f>SUM(E176:H176)</f>
        <v>12</v>
      </c>
      <c r="D176" s="52"/>
      <c r="E176" s="52">
        <v>0</v>
      </c>
      <c r="F176" s="52">
        <v>0</v>
      </c>
      <c r="G176" s="52">
        <v>0</v>
      </c>
      <c r="H176" s="52">
        <v>12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Soft!E8</f>
        <v>108988.00000000001</v>
      </c>
      <c r="D177" s="52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0</v>
      </c>
      <c r="F178" s="52">
        <f t="shared" ref="F178:H178" si="43">$C$177/$C$176*F176</f>
        <v>0</v>
      </c>
      <c r="G178" s="52">
        <f t="shared" si="43"/>
        <v>0</v>
      </c>
      <c r="H178" s="52">
        <f t="shared" si="43"/>
        <v>108988</v>
      </c>
      <c r="I178" s="70"/>
    </row>
    <row r="179" spans="1:12" x14ac:dyDescent="0.25">
      <c r="A179" s="58"/>
      <c r="B179" s="86"/>
      <c r="C179" s="98"/>
      <c r="D179" s="60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171"/>
  <sheetViews>
    <sheetView topLeftCell="A1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34.5" x14ac:dyDescent="0.3">
      <c r="A1" s="227">
        <v>34</v>
      </c>
      <c r="B1" s="228" t="s">
        <v>425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563.88552499999992</v>
      </c>
      <c r="E5" s="52">
        <f>E63</f>
        <v>176.75</v>
      </c>
      <c r="F5" s="52">
        <f t="shared" ref="F5:H5" si="1">F63</f>
        <v>387.13552499999997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4398.1562460000005</v>
      </c>
      <c r="E6" s="52">
        <f>E67</f>
        <v>817.41000000000008</v>
      </c>
      <c r="F6" s="52">
        <f t="shared" ref="F6:H6" si="2">F67</f>
        <v>3580.7462460000002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4962.0417710000002</v>
      </c>
      <c r="E7" s="55">
        <f>SUBTOTAL(9,E5:E6)</f>
        <v>994.16000000000008</v>
      </c>
      <c r="F7" s="55">
        <f>SUBTOTAL(9,F5:F6)</f>
        <v>3967.8817710000003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E95</f>
        <v>0</v>
      </c>
      <c r="F15" s="52">
        <f t="shared" ref="F15:H15" si="7">F95</f>
        <v>743.12691355000004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6.7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6375</v>
      </c>
      <c r="E20" s="52">
        <f>E99</f>
        <v>0</v>
      </c>
      <c r="F20" s="52">
        <f t="shared" ref="F20:H20" si="10">F99</f>
        <v>2125</v>
      </c>
      <c r="G20" s="52">
        <f t="shared" si="10"/>
        <v>2125</v>
      </c>
      <c r="H20" s="52">
        <f t="shared" si="10"/>
        <v>2125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6375</v>
      </c>
      <c r="E22" s="55">
        <f t="shared" ref="E22:H22" si="12">SUBTOTAL(9,E20:E21)</f>
        <v>0</v>
      </c>
      <c r="F22" s="55">
        <f t="shared" si="12"/>
        <v>2125</v>
      </c>
      <c r="G22" s="55">
        <f t="shared" si="12"/>
        <v>2125</v>
      </c>
      <c r="H22" s="55">
        <f t="shared" si="12"/>
        <v>2125</v>
      </c>
    </row>
    <row r="23" spans="1:12" ht="6.7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156.44999999999999</v>
      </c>
      <c r="E25" s="52">
        <f>E107</f>
        <v>0</v>
      </c>
      <c r="F25" s="52">
        <f t="shared" ref="F25:H25" si="13">F107</f>
        <v>156.44999999999999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E132</f>
        <v>0</v>
      </c>
      <c r="F26" s="52">
        <f>F132</f>
        <v>0</v>
      </c>
      <c r="G26" s="52">
        <f>G132</f>
        <v>0</v>
      </c>
      <c r="H26" s="52">
        <f>H132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156.44999999999999</v>
      </c>
      <c r="E28" s="55">
        <f t="shared" ref="E28:H28" si="15">SUBTOTAL(9,E25:E27)</f>
        <v>0</v>
      </c>
      <c r="F28" s="55">
        <f t="shared" si="15"/>
        <v>156.44999999999999</v>
      </c>
      <c r="G28" s="55">
        <f t="shared" si="15"/>
        <v>0</v>
      </c>
      <c r="H28" s="55">
        <f t="shared" si="15"/>
        <v>0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.7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0</v>
      </c>
      <c r="E46" s="52">
        <f>E147</f>
        <v>0</v>
      </c>
      <c r="F46" s="52">
        <f t="shared" ref="F46:H46" si="21">F147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si="20"/>
        <v>0</v>
      </c>
      <c r="E47" s="52">
        <f>E137</f>
        <v>0</v>
      </c>
      <c r="F47" s="52">
        <f t="shared" ref="F47:H47" si="22">F137</f>
        <v>0</v>
      </c>
      <c r="G47" s="52">
        <f t="shared" si="22"/>
        <v>0</v>
      </c>
      <c r="H47" s="52">
        <f t="shared" si="22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0</v>
      </c>
      <c r="E48" s="55">
        <f>SUBTOTAL(9,E46:E47)</f>
        <v>0</v>
      </c>
      <c r="F48" s="55">
        <f>SUBTOTAL(9,F46:F47)</f>
        <v>0</v>
      </c>
      <c r="G48" s="55">
        <f>SUBTOTAL(9,G46:G47)</f>
        <v>0</v>
      </c>
      <c r="H48" s="55">
        <f>SUBTOTAL(9,H46:H47)</f>
        <v>0</v>
      </c>
    </row>
    <row r="49" spans="1:8" ht="4.5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12236.618684550001</v>
      </c>
      <c r="E50" s="57">
        <f>SUBTOTAL(9,E5:E48)</f>
        <v>994.16000000000008</v>
      </c>
      <c r="F50" s="57">
        <f>SUBTOTAL(9,F5:F48)</f>
        <v>6992.4586845499998</v>
      </c>
      <c r="G50" s="57">
        <f>SUBTOTAL(9,G5:G48)</f>
        <v>2125</v>
      </c>
      <c r="H50" s="57">
        <f>SUBTOTAL(9,H5:H48)</f>
        <v>2125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176.75</v>
      </c>
      <c r="F63" s="52">
        <f t="shared" ref="F63:H63" si="23">F64*F65</f>
        <v>387.13552499999997</v>
      </c>
      <c r="G63" s="52">
        <f t="shared" si="23"/>
        <v>0</v>
      </c>
      <c r="H63" s="52">
        <f t="shared" si="23"/>
        <v>0</v>
      </c>
    </row>
    <row r="64" spans="1:8" x14ac:dyDescent="0.25">
      <c r="A64" s="9"/>
      <c r="B64" s="9" t="s">
        <v>129</v>
      </c>
      <c r="C64" s="9" t="s">
        <v>128</v>
      </c>
      <c r="E64" s="52">
        <v>10</v>
      </c>
      <c r="F64" s="52">
        <v>21</v>
      </c>
      <c r="G64" s="52">
        <v>0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817.41000000000008</v>
      </c>
      <c r="F67" s="52">
        <f t="shared" ref="F67:H67" si="24">F68*F69</f>
        <v>3580.7462460000002</v>
      </c>
      <c r="G67" s="52">
        <f t="shared" si="24"/>
        <v>0</v>
      </c>
      <c r="H67" s="52">
        <f t="shared" si="24"/>
        <v>0</v>
      </c>
      <c r="I67" s="70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5</v>
      </c>
      <c r="F68" s="52">
        <v>21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5">F88*F89+F91*F92</f>
        <v>0</v>
      </c>
      <c r="G87" s="60">
        <f t="shared" si="25"/>
        <v>0</v>
      </c>
      <c r="H87" s="60">
        <f t="shared" si="25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6">F96*F97</f>
        <v>743.12691355000004</v>
      </c>
      <c r="G95" s="60">
        <f t="shared" si="26"/>
        <v>0</v>
      </c>
      <c r="H95" s="60">
        <f t="shared" si="26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1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9" spans="1:12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7">F100*F101+F102*F103+F104*F105</f>
        <v>2125</v>
      </c>
      <c r="G99" s="60">
        <f t="shared" si="27"/>
        <v>2125</v>
      </c>
      <c r="H99" s="60">
        <f t="shared" si="27"/>
        <v>2125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x14ac:dyDescent="0.25">
      <c r="B104" s="45" t="s">
        <v>272</v>
      </c>
      <c r="C104" s="5" t="s">
        <v>155</v>
      </c>
      <c r="E104" s="52">
        <f>Training!$C$34</f>
        <v>62.5</v>
      </c>
      <c r="F104" s="52">
        <f>Training!$C$34</f>
        <v>62.5</v>
      </c>
      <c r="G104" s="52">
        <f>Training!$C$34</f>
        <v>62.5</v>
      </c>
      <c r="H104" s="52">
        <f>Training!$C$34</f>
        <v>62.5</v>
      </c>
    </row>
    <row r="105" spans="1:12" x14ac:dyDescent="0.25">
      <c r="B105" s="45" t="s">
        <v>151</v>
      </c>
      <c r="C105" s="5" t="s">
        <v>273</v>
      </c>
      <c r="E105" s="52">
        <v>0</v>
      </c>
      <c r="F105" s="52">
        <f t="shared" ref="F105:H105" si="29">2*17</f>
        <v>34</v>
      </c>
      <c r="G105" s="52">
        <f t="shared" si="29"/>
        <v>34</v>
      </c>
      <c r="H105" s="52">
        <f t="shared" si="29"/>
        <v>34</v>
      </c>
    </row>
    <row r="106" spans="1:12" x14ac:dyDescent="0.25">
      <c r="B106" s="45"/>
    </row>
    <row r="107" spans="1:12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30">F108*F109</f>
        <v>156.44999999999999</v>
      </c>
      <c r="G107" s="60">
        <f t="shared" si="30"/>
        <v>0</v>
      </c>
      <c r="H107" s="60">
        <f t="shared" si="30"/>
        <v>0</v>
      </c>
    </row>
    <row r="108" spans="1:12" s="7" customFormat="1" x14ac:dyDescent="0.25">
      <c r="A108" s="5"/>
      <c r="B108" s="45" t="s">
        <v>54</v>
      </c>
      <c r="C108" s="5"/>
      <c r="D108" s="52"/>
      <c r="E108" s="52">
        <v>0</v>
      </c>
      <c r="F108" s="52">
        <v>25</v>
      </c>
      <c r="G108" s="52"/>
      <c r="H108" s="52"/>
      <c r="I108" s="6"/>
      <c r="J108" s="6"/>
      <c r="K108" s="6"/>
      <c r="L108" s="6"/>
    </row>
    <row r="109" spans="1:12" s="7" customFormat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6"/>
      <c r="J109" s="6"/>
      <c r="K109" s="6"/>
      <c r="L109" s="6"/>
    </row>
    <row r="110" spans="1:12" x14ac:dyDescent="0.25">
      <c r="A110" s="58"/>
      <c r="B110" s="58"/>
      <c r="C110" s="58"/>
      <c r="D110" s="60"/>
      <c r="E110" s="60"/>
      <c r="F110" s="60"/>
      <c r="G110" s="60"/>
      <c r="H110" s="60"/>
    </row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hidden="1" x14ac:dyDescent="0.25"/>
    <row r="117" spans="1:12" hidden="1" x14ac:dyDescent="0.25">
      <c r="A117" s="58"/>
      <c r="B117" s="58" t="s">
        <v>26</v>
      </c>
      <c r="C117" s="58"/>
      <c r="D117" s="60"/>
      <c r="E117" s="60"/>
      <c r="F117" s="60"/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63" t="s">
        <v>62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hidden="1" x14ac:dyDescent="0.25"/>
    <row r="128" spans="1:12" hidden="1" x14ac:dyDescent="0.25">
      <c r="A128" s="58"/>
      <c r="B128" s="58" t="s">
        <v>25</v>
      </c>
      <c r="C128" s="58"/>
      <c r="D128" s="60"/>
      <c r="E128" s="60"/>
      <c r="F128" s="60"/>
      <c r="G128" s="60"/>
      <c r="H128" s="60"/>
    </row>
    <row r="129" spans="1:12" s="5" customFormat="1" hidden="1" x14ac:dyDescent="0.25">
      <c r="B129" s="47" t="s">
        <v>64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52"/>
      <c r="E130" s="52"/>
      <c r="F130" s="52"/>
      <c r="G130" s="44"/>
      <c r="H130" s="44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5" t="s">
        <v>173</v>
      </c>
      <c r="D132" s="52"/>
      <c r="E132" s="52">
        <f>E133+E134*E135</f>
        <v>0</v>
      </c>
      <c r="F132" s="52">
        <f t="shared" ref="F132:H132" si="31">F133+F134*F135</f>
        <v>0</v>
      </c>
      <c r="G132" s="52">
        <f t="shared" si="31"/>
        <v>0</v>
      </c>
      <c r="H132" s="52">
        <f t="shared" si="31"/>
        <v>0</v>
      </c>
    </row>
    <row r="133" spans="1:12" hidden="1" x14ac:dyDescent="0.25">
      <c r="B133" s="47" t="s">
        <v>172</v>
      </c>
      <c r="F133" s="52">
        <v>0</v>
      </c>
    </row>
    <row r="134" spans="1:12" hidden="1" x14ac:dyDescent="0.25">
      <c r="B134" s="47" t="s">
        <v>178</v>
      </c>
      <c r="E134" s="68">
        <f>'Rates and GI'!$D$59</f>
        <v>0.02</v>
      </c>
      <c r="F134" s="68">
        <f>'Rates and GI'!$D$59</f>
        <v>0.02</v>
      </c>
      <c r="G134" s="68">
        <f>'Rates and GI'!$D$59</f>
        <v>0.02</v>
      </c>
      <c r="H134" s="68">
        <f>'Rates and GI'!$D$59</f>
        <v>0.02</v>
      </c>
    </row>
    <row r="135" spans="1:12" hidden="1" x14ac:dyDescent="0.25">
      <c r="B135" s="47" t="s">
        <v>179</v>
      </c>
      <c r="E135" s="52">
        <v>0</v>
      </c>
      <c r="F135" s="52">
        <v>0</v>
      </c>
      <c r="G135" s="52"/>
      <c r="H135" s="52"/>
    </row>
    <row r="136" spans="1:12" s="5" customFormat="1" hidden="1" x14ac:dyDescent="0.25">
      <c r="B136" s="47"/>
      <c r="D136" s="52"/>
      <c r="E136" s="52"/>
      <c r="F136" s="52"/>
      <c r="G136" s="44"/>
      <c r="H136" s="44"/>
      <c r="I136" s="6"/>
      <c r="J136" s="6"/>
      <c r="K136" s="6"/>
      <c r="L136" s="6"/>
    </row>
    <row r="137" spans="1:12" hidden="1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2">F138*F139+F140*F141++F142*F143+F144*F145</f>
        <v>0</v>
      </c>
      <c r="G137" s="60">
        <f t="shared" si="32"/>
        <v>0</v>
      </c>
      <c r="H137" s="60">
        <f t="shared" si="32"/>
        <v>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hidden="1" x14ac:dyDescent="0.25">
      <c r="B144" s="47" t="s">
        <v>354</v>
      </c>
      <c r="D144" s="52"/>
      <c r="E144" s="52">
        <v>0</v>
      </c>
      <c r="F144" s="52">
        <v>0</v>
      </c>
      <c r="G144" s="52">
        <v>0</v>
      </c>
      <c r="H144" s="52">
        <v>0</v>
      </c>
      <c r="I144" s="6"/>
      <c r="J144" s="6"/>
      <c r="K144" s="6"/>
      <c r="L144" s="6"/>
    </row>
    <row r="145" spans="1:12" s="5" customFormat="1" hidden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6" spans="1:12" hidden="1" x14ac:dyDescent="0.25"/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3">F148+F151+F154+F163+F168</f>
        <v>0</v>
      </c>
      <c r="G147" s="60">
        <f t="shared" si="33"/>
        <v>0</v>
      </c>
      <c r="H147" s="60">
        <f t="shared" si="33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4">H149+H152*H153</f>
        <v>0</v>
      </c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5">F152*F153</f>
        <v>0</v>
      </c>
      <c r="G151" s="52">
        <f t="shared" si="35"/>
        <v>0</v>
      </c>
      <c r="H151" s="52">
        <f t="shared" si="35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6">F155+F159</f>
        <v>0</v>
      </c>
      <c r="G154" s="52">
        <f t="shared" si="36"/>
        <v>0</v>
      </c>
      <c r="H154" s="52">
        <f t="shared" si="36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7">F156*F157</f>
        <v>0</v>
      </c>
      <c r="G155" s="52">
        <f t="shared" si="37"/>
        <v>0</v>
      </c>
      <c r="H155" s="52">
        <f t="shared" si="37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38">F160*F161</f>
        <v>0</v>
      </c>
      <c r="G159" s="52">
        <f t="shared" si="38"/>
        <v>0</v>
      </c>
      <c r="H159" s="52">
        <f t="shared" si="38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2:8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2:8" hidden="1" x14ac:dyDescent="0.25">
      <c r="B162" s="6"/>
    </row>
    <row r="163" spans="2:8" hidden="1" x14ac:dyDescent="0.25">
      <c r="B163" s="5" t="s">
        <v>203</v>
      </c>
      <c r="E163" s="52">
        <f>E164*E165*E166</f>
        <v>0</v>
      </c>
      <c r="F163" s="52">
        <f t="shared" ref="F163:H163" si="39">F164*F165*F166</f>
        <v>0</v>
      </c>
      <c r="G163" s="52">
        <f t="shared" si="39"/>
        <v>0</v>
      </c>
      <c r="H163" s="52">
        <f t="shared" si="39"/>
        <v>0</v>
      </c>
    </row>
    <row r="164" spans="2:8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2:8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2:8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2:8" hidden="1" x14ac:dyDescent="0.25"/>
    <row r="168" spans="2:8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2:8" hidden="1" x14ac:dyDescent="0.25">
      <c r="B169" s="47" t="s">
        <v>172</v>
      </c>
      <c r="F169" s="52">
        <f>'Rates and GI'!D57*0</f>
        <v>0</v>
      </c>
    </row>
    <row r="170" spans="2:8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2:8" hidden="1" x14ac:dyDescent="0.25">
      <c r="B171" s="47" t="s">
        <v>179</v>
      </c>
      <c r="F171" s="52">
        <v>0</v>
      </c>
      <c r="G171" s="44">
        <v>0</v>
      </c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180"/>
  <sheetViews>
    <sheetView topLeftCell="A31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52" customWidth="1"/>
    <col min="5" max="5" width="12" style="52" bestFit="1" customWidth="1"/>
    <col min="6" max="6" width="11.5703125" style="52" bestFit="1" customWidth="1"/>
    <col min="7" max="7" width="10.28515625" style="44" bestFit="1" customWidth="1"/>
    <col min="8" max="8" width="10.42578125" style="44" bestFit="1" customWidth="1"/>
    <col min="9" max="16384" width="9.140625" style="6"/>
  </cols>
  <sheetData>
    <row r="1" spans="1:12" s="140" customFormat="1" ht="34.5" x14ac:dyDescent="0.3">
      <c r="A1" s="227">
        <v>36</v>
      </c>
      <c r="B1" s="228" t="s">
        <v>257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0</v>
      </c>
      <c r="E5" s="52">
        <f>E67</f>
        <v>0</v>
      </c>
      <c r="F5" s="52">
        <f t="shared" ref="F5:H5" si="1">F67</f>
        <v>0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E71</f>
        <v>0</v>
      </c>
      <c r="F6" s="52">
        <f t="shared" ref="F6:H6" si="2">F71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0</v>
      </c>
      <c r="E7" s="55">
        <f>SUBTOTAL(9,E5:E6)</f>
        <v>0</v>
      </c>
      <c r="F7" s="55">
        <f>SUBTOTAL(9,F5:F6)</f>
        <v>0</v>
      </c>
      <c r="G7" s="55">
        <f>SUBTOTAL(9,G5:G6)</f>
        <v>0</v>
      </c>
      <c r="H7" s="55">
        <f>SUBTOTAL(9,H5:H6)</f>
        <v>0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6" customHeight="1" x14ac:dyDescent="0.25"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5.25" customHeight="1" x14ac:dyDescent="0.25"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E109</f>
        <v>0</v>
      </c>
      <c r="F25" s="52">
        <f t="shared" ref="F25:H25" si="13">F109</f>
        <v>0</v>
      </c>
      <c r="G25" s="52">
        <f t="shared" si="13"/>
        <v>0</v>
      </c>
      <c r="H25" s="52">
        <f t="shared" si="13"/>
        <v>0</v>
      </c>
      <c r="I25" s="70"/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  <c r="I26" s="70"/>
    </row>
    <row r="27" spans="1:12" x14ac:dyDescent="0.25">
      <c r="B27" s="17" t="s">
        <v>432</v>
      </c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  <c r="I28" s="70"/>
    </row>
    <row r="29" spans="1:12" ht="4.5" customHeight="1" x14ac:dyDescent="0.25"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1"/>
      <c r="D39" s="52">
        <f t="shared" si="18"/>
        <v>0</v>
      </c>
    </row>
    <row r="40" spans="1:12" x14ac:dyDescent="0.25">
      <c r="A40" s="2"/>
      <c r="B40" s="2" t="s">
        <v>19</v>
      </c>
      <c r="C40" s="1"/>
      <c r="D40" s="52">
        <f t="shared" si="18"/>
        <v>0</v>
      </c>
    </row>
    <row r="41" spans="1:12" x14ac:dyDescent="0.25">
      <c r="A41" s="3"/>
      <c r="B41" s="3" t="s">
        <v>13</v>
      </c>
      <c r="C41" s="96"/>
      <c r="D41" s="52">
        <f t="shared" si="18"/>
        <v>0</v>
      </c>
    </row>
    <row r="42" spans="1:12" x14ac:dyDescent="0.25">
      <c r="A42" s="3"/>
      <c r="B42" s="3" t="s">
        <v>22</v>
      </c>
      <c r="C42" s="96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6.75" customHeight="1" x14ac:dyDescent="0.25">
      <c r="A44" s="3"/>
      <c r="B44" s="6"/>
      <c r="C44" s="96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1907290</v>
      </c>
      <c r="E46" s="52">
        <f>E178</f>
        <v>0</v>
      </c>
      <c r="F46" s="52">
        <f t="shared" ref="F46:H46" si="21">F178</f>
        <v>1430467.5</v>
      </c>
      <c r="G46" s="44">
        <f t="shared" si="21"/>
        <v>476822.5</v>
      </c>
      <c r="H46" s="44">
        <f t="shared" si="21"/>
        <v>0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1907290</v>
      </c>
      <c r="E47" s="55">
        <f t="shared" ref="E47:H47" si="22">SUBTOTAL(9,E46)</f>
        <v>0</v>
      </c>
      <c r="F47" s="55">
        <f t="shared" si="22"/>
        <v>1430467.5</v>
      </c>
      <c r="G47" s="55">
        <f t="shared" si="22"/>
        <v>476822.5</v>
      </c>
      <c r="H47" s="55">
        <f t="shared" si="22"/>
        <v>0</v>
      </c>
    </row>
    <row r="48" spans="1:12" ht="4.5" customHeight="1" x14ac:dyDescent="0.25">
      <c r="A48" s="3"/>
      <c r="B48" s="6"/>
      <c r="C48" s="96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E149</f>
        <v>0</v>
      </c>
      <c r="F50" s="52">
        <f t="shared" ref="F50:H50" si="24">F149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0</v>
      </c>
      <c r="E51" s="52">
        <f>E139</f>
        <v>0</v>
      </c>
      <c r="F51" s="52">
        <f t="shared" ref="F51:H51" si="25">F139</f>
        <v>0</v>
      </c>
      <c r="G51" s="52">
        <f t="shared" si="25"/>
        <v>0</v>
      </c>
      <c r="H51" s="52">
        <f t="shared" si="25"/>
        <v>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0</v>
      </c>
      <c r="E52" s="55">
        <f>SUBTOTAL(9,E50:E51)</f>
        <v>0</v>
      </c>
      <c r="F52" s="55">
        <f>SUBTOTAL(9,F50:F51)</f>
        <v>0</v>
      </c>
      <c r="G52" s="55">
        <f>SUBTOTAL(9,G50:G51)</f>
        <v>0</v>
      </c>
      <c r="H52" s="55">
        <f>SUBTOTAL(9,H50:H51)</f>
        <v>0</v>
      </c>
    </row>
    <row r="53" spans="1:12" ht="8.25" customHeight="1" x14ac:dyDescent="0.25">
      <c r="A53" s="1"/>
      <c r="B53" s="1"/>
      <c r="C53" s="1"/>
    </row>
    <row r="54" spans="1:12" ht="14.25" thickBot="1" x14ac:dyDescent="0.3">
      <c r="A54" s="56"/>
      <c r="B54" s="56" t="s">
        <v>160</v>
      </c>
      <c r="C54" s="97"/>
      <c r="D54" s="57">
        <f>SUBTOTAL(9,D5:D52)</f>
        <v>1907290</v>
      </c>
      <c r="E54" s="57">
        <f>SUBTOTAL(9,E5:E52)</f>
        <v>0</v>
      </c>
      <c r="F54" s="57">
        <f>SUBTOTAL(9,F5:F52)</f>
        <v>1430467.5</v>
      </c>
      <c r="G54" s="57">
        <f>SUBTOTAL(9,G5:G52)</f>
        <v>476822.5</v>
      </c>
      <c r="H54" s="57">
        <f>SUBTOTAL(9,H5:H52)</f>
        <v>0</v>
      </c>
    </row>
    <row r="55" spans="1:12" ht="14.25" thickBot="1" x14ac:dyDescent="0.3">
      <c r="A55" s="1"/>
      <c r="B55" s="1"/>
      <c r="C55" s="1"/>
      <c r="D55" s="36"/>
      <c r="E55" s="36"/>
      <c r="F55" s="36"/>
      <c r="G55" s="29"/>
      <c r="H55" s="29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  <c r="D57" s="36"/>
      <c r="E57" s="36"/>
      <c r="F57" s="36"/>
      <c r="G57" s="29"/>
      <c r="H57" s="29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  <c r="D59" s="36"/>
      <c r="E59" s="36"/>
      <c r="F59" s="36"/>
      <c r="G59" s="29"/>
      <c r="H59" s="29"/>
    </row>
    <row r="60" spans="1:12" hidden="1" x14ac:dyDescent="0.25">
      <c r="A60" s="58"/>
      <c r="B60" s="58" t="s">
        <v>0</v>
      </c>
      <c r="C60" s="98"/>
      <c r="D60" s="60"/>
      <c r="E60" s="60"/>
      <c r="F60" s="60"/>
      <c r="G60" s="60"/>
      <c r="H60" s="60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52">
        <v>0</v>
      </c>
      <c r="F62" s="52">
        <v>0</v>
      </c>
      <c r="G62" s="52">
        <v>0</v>
      </c>
      <c r="H62" s="52">
        <v>0</v>
      </c>
      <c r="I62" s="70"/>
    </row>
    <row r="63" spans="1:12" hidden="1" x14ac:dyDescent="0.25">
      <c r="A63" s="9"/>
      <c r="B63" s="9" t="s">
        <v>38</v>
      </c>
      <c r="C63" s="99"/>
      <c r="D63" s="53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54">
        <v>0</v>
      </c>
      <c r="F65" s="52">
        <v>4</v>
      </c>
      <c r="G65" s="44">
        <v>12</v>
      </c>
      <c r="H65" s="44">
        <v>12</v>
      </c>
      <c r="I65" s="70"/>
    </row>
    <row r="66" spans="1:12" hidden="1" x14ac:dyDescent="0.25">
      <c r="A66" s="9"/>
      <c r="B66" s="9"/>
      <c r="C66" s="99"/>
      <c r="I66" s="70"/>
    </row>
    <row r="67" spans="1:12" hidden="1" x14ac:dyDescent="0.25">
      <c r="B67" s="5" t="s">
        <v>23</v>
      </c>
      <c r="E67" s="52">
        <f>E68*E69</f>
        <v>0</v>
      </c>
      <c r="F67" s="52">
        <f t="shared" ref="F67:H67" si="28">F68*F69</f>
        <v>0</v>
      </c>
      <c r="G67" s="52">
        <f t="shared" si="28"/>
        <v>0</v>
      </c>
      <c r="H67" s="52">
        <f t="shared" si="28"/>
        <v>0</v>
      </c>
      <c r="I67" s="70"/>
    </row>
    <row r="68" spans="1:12" hidden="1" x14ac:dyDescent="0.25">
      <c r="A68" s="9"/>
      <c r="B68" s="9" t="s">
        <v>129</v>
      </c>
      <c r="C68" s="99" t="s">
        <v>128</v>
      </c>
      <c r="E68" s="52">
        <v>0</v>
      </c>
      <c r="F68" s="52">
        <v>0</v>
      </c>
      <c r="G68" s="52">
        <v>0</v>
      </c>
      <c r="H68" s="52">
        <v>0</v>
      </c>
      <c r="I68" s="70"/>
    </row>
    <row r="69" spans="1:12" hidden="1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hidden="1" x14ac:dyDescent="0.25">
      <c r="I70" s="70"/>
    </row>
    <row r="71" spans="1:12" s="7" customFormat="1" hidden="1" x14ac:dyDescent="0.25">
      <c r="A71" s="5"/>
      <c r="B71" s="5" t="s">
        <v>191</v>
      </c>
      <c r="C71" s="94"/>
      <c r="D71" s="52"/>
      <c r="E71" s="52">
        <f>E72*E73</f>
        <v>0</v>
      </c>
      <c r="F71" s="52">
        <f t="shared" ref="F71:H71" si="29">F72*F73</f>
        <v>0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hidden="1" x14ac:dyDescent="0.25">
      <c r="A72" s="9"/>
      <c r="B72" s="9" t="s">
        <v>193</v>
      </c>
      <c r="C72" s="99" t="s">
        <v>128</v>
      </c>
      <c r="D72" s="52"/>
      <c r="E72" s="52">
        <v>0</v>
      </c>
      <c r="F72" s="52">
        <v>0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hidden="1" x14ac:dyDescent="0.25">
      <c r="A73" s="9"/>
      <c r="B73" s="9" t="s">
        <v>41</v>
      </c>
      <c r="C73" s="99"/>
      <c r="D73" s="52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I74" s="70"/>
    </row>
    <row r="75" spans="1:12" s="7" customFormat="1" hidden="1" x14ac:dyDescent="0.25">
      <c r="A75" s="5"/>
      <c r="B75" s="5" t="s">
        <v>1</v>
      </c>
      <c r="C75" s="94"/>
      <c r="D75" s="52"/>
      <c r="E75" s="52"/>
      <c r="F75" s="52"/>
      <c r="G75" s="44"/>
      <c r="H75" s="44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52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52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52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52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52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52"/>
      <c r="E89" s="54"/>
      <c r="F89" s="52"/>
      <c r="G89" s="44"/>
      <c r="H89" s="44"/>
      <c r="I89" s="6"/>
      <c r="J89" s="6"/>
      <c r="K89" s="6"/>
      <c r="L89" s="6"/>
    </row>
    <row r="90" spans="1:12" hidden="1" x14ac:dyDescent="0.25"/>
    <row r="91" spans="1:12" hidden="1" x14ac:dyDescent="0.25">
      <c r="A91" s="58"/>
      <c r="B91" s="58" t="s">
        <v>10</v>
      </c>
      <c r="C91" s="98"/>
      <c r="D91" s="60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94"/>
      <c r="D92" s="52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94"/>
      <c r="D93" s="52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/>
    <row r="95" spans="1:12" s="7" customFormat="1" hidden="1" x14ac:dyDescent="0.25">
      <c r="A95" s="5"/>
      <c r="B95" s="9" t="s">
        <v>52</v>
      </c>
      <c r="C95" s="94"/>
      <c r="D95" s="52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52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/>
    <row r="98" spans="1:12" hidden="1" x14ac:dyDescent="0.25"/>
    <row r="99" spans="1:12" hidden="1" x14ac:dyDescent="0.25">
      <c r="A99" s="58"/>
      <c r="B99" s="58" t="s">
        <v>194</v>
      </c>
      <c r="C99" s="98"/>
      <c r="D99" s="60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0" t="s">
        <v>163</v>
      </c>
      <c r="D100" s="52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94"/>
      <c r="D101" s="52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/>
    <row r="103" spans="1:12" hidden="1" x14ac:dyDescent="0.25">
      <c r="A103" s="58"/>
      <c r="B103" s="58" t="s">
        <v>148</v>
      </c>
      <c r="C103" s="98"/>
      <c r="D103" s="60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F105" s="52">
        <v>0</v>
      </c>
      <c r="G105" s="52">
        <v>0</v>
      </c>
      <c r="H105" s="52">
        <v>0</v>
      </c>
    </row>
    <row r="106" spans="1:12" hidden="1" x14ac:dyDescent="0.25">
      <c r="B106" s="45" t="s">
        <v>152</v>
      </c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  <c r="I107" s="70"/>
    </row>
    <row r="108" spans="1:12" hidden="1" x14ac:dyDescent="0.25">
      <c r="B108" s="45"/>
      <c r="I108" s="70"/>
    </row>
    <row r="109" spans="1:12" hidden="1" x14ac:dyDescent="0.25">
      <c r="A109" s="58"/>
      <c r="B109" s="58" t="s">
        <v>24</v>
      </c>
      <c r="C109" s="98"/>
      <c r="D109" s="60"/>
      <c r="E109" s="60">
        <f>E110*E111</f>
        <v>0</v>
      </c>
      <c r="F109" s="60">
        <f t="shared" ref="F109:H109" si="33">F110*F111</f>
        <v>0</v>
      </c>
      <c r="G109" s="60">
        <f t="shared" si="33"/>
        <v>0</v>
      </c>
      <c r="H109" s="60">
        <f t="shared" si="33"/>
        <v>0</v>
      </c>
      <c r="I109" s="70"/>
    </row>
    <row r="110" spans="1:12" s="7" customFormat="1" hidden="1" x14ac:dyDescent="0.25">
      <c r="A110" s="5"/>
      <c r="B110" s="45" t="s">
        <v>54</v>
      </c>
      <c r="C110" s="94"/>
      <c r="D110" s="52"/>
      <c r="E110" s="52">
        <v>0</v>
      </c>
      <c r="F110" s="52">
        <v>0</v>
      </c>
      <c r="G110" s="52">
        <v>0</v>
      </c>
      <c r="H110" s="52">
        <v>0</v>
      </c>
      <c r="I110" s="70"/>
      <c r="J110" s="6"/>
      <c r="K110" s="6"/>
      <c r="L110" s="6"/>
    </row>
    <row r="111" spans="1:12" s="7" customFormat="1" hidden="1" x14ac:dyDescent="0.25">
      <c r="A111" s="5"/>
      <c r="B111" s="45" t="s">
        <v>55</v>
      </c>
      <c r="C111" s="94"/>
      <c r="D111" s="52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70"/>
      <c r="J111" s="6"/>
      <c r="K111" s="6"/>
      <c r="L111" s="6"/>
    </row>
    <row r="112" spans="1:12" hidden="1" x14ac:dyDescent="0.25">
      <c r="I112" s="70"/>
    </row>
    <row r="113" spans="1:12" hidden="1" x14ac:dyDescent="0.25">
      <c r="A113" s="58"/>
      <c r="B113" s="58" t="s">
        <v>7</v>
      </c>
      <c r="C113" s="98"/>
      <c r="D113" s="60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94"/>
      <c r="D114" s="52"/>
      <c r="E114" s="52"/>
      <c r="F114" s="52"/>
      <c r="G114" s="44"/>
      <c r="H114" s="44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91"/>
      <c r="E116" s="91"/>
      <c r="F116" s="91"/>
      <c r="G116" s="92"/>
      <c r="H116" s="92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91"/>
      <c r="E117" s="91"/>
      <c r="F117" s="91"/>
      <c r="G117" s="92"/>
      <c r="H117" s="92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60"/>
      <c r="E119" s="60"/>
      <c r="F119" s="60"/>
      <c r="G119" s="60"/>
      <c r="H119" s="60"/>
    </row>
    <row r="120" spans="1:12" s="5" customFormat="1" hidden="1" x14ac:dyDescent="0.25">
      <c r="B120" s="63" t="s">
        <v>61</v>
      </c>
      <c r="C120" s="94"/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98"/>
      <c r="D130" s="60"/>
      <c r="E130" s="60"/>
      <c r="F130" s="60"/>
      <c r="G130" s="60"/>
      <c r="H130" s="60"/>
    </row>
    <row r="131" spans="1:12" s="5" customFormat="1" hidden="1" x14ac:dyDescent="0.25">
      <c r="B131" s="47" t="s">
        <v>64</v>
      </c>
      <c r="C131" s="94"/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52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52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C134" s="94"/>
      <c r="D134" s="52"/>
      <c r="E134" s="52">
        <f>E135+E136*E137</f>
        <v>0</v>
      </c>
      <c r="F134" s="52">
        <f t="shared" ref="F134:H134" si="34">F135+F136*F137</f>
        <v>0</v>
      </c>
      <c r="G134" s="52">
        <f t="shared" si="34"/>
        <v>0</v>
      </c>
      <c r="H134" s="52">
        <f t="shared" si="34"/>
        <v>0</v>
      </c>
    </row>
    <row r="135" spans="1:12" hidden="1" x14ac:dyDescent="0.25">
      <c r="B135" s="47" t="s">
        <v>220</v>
      </c>
      <c r="F135" s="52">
        <f>'Rates and GI'!D56*0</f>
        <v>0</v>
      </c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C138" s="94"/>
      <c r="D138" s="52"/>
      <c r="E138" s="52"/>
      <c r="F138" s="52"/>
      <c r="G138" s="44"/>
      <c r="H138" s="44"/>
      <c r="I138" s="6"/>
      <c r="J138" s="6"/>
      <c r="K138" s="6"/>
      <c r="L138" s="6"/>
    </row>
    <row r="139" spans="1:12" hidden="1" x14ac:dyDescent="0.25">
      <c r="A139" s="58"/>
      <c r="B139" s="58" t="s">
        <v>21</v>
      </c>
      <c r="C139" s="98"/>
      <c r="D139" s="60"/>
      <c r="E139" s="60">
        <f>E140*E141+E142*E143++E144*E145+E146*E147</f>
        <v>0</v>
      </c>
      <c r="F139" s="60">
        <f t="shared" ref="F139:H139" si="35">F140*F141+F142*F143++F144*F145+F146*F147</f>
        <v>0</v>
      </c>
      <c r="G139" s="60">
        <f t="shared" si="35"/>
        <v>0</v>
      </c>
      <c r="H139" s="60">
        <f t="shared" si="35"/>
        <v>0</v>
      </c>
    </row>
    <row r="140" spans="1:12" hidden="1" x14ac:dyDescent="0.25">
      <c r="B140" s="47" t="s">
        <v>169</v>
      </c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hidden="1" x14ac:dyDescent="0.25">
      <c r="B144" s="71" t="s">
        <v>183</v>
      </c>
      <c r="E144" s="52">
        <v>0</v>
      </c>
      <c r="F144" s="52">
        <v>0</v>
      </c>
      <c r="G144" s="52">
        <v>0</v>
      </c>
      <c r="H144" s="52">
        <v>0</v>
      </c>
    </row>
    <row r="145" spans="1:12" ht="15" hidden="1" customHeight="1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hidden="1" x14ac:dyDescent="0.25">
      <c r="B146" s="47" t="s">
        <v>354</v>
      </c>
      <c r="C146" s="94"/>
      <c r="D146" s="52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hidden="1" x14ac:dyDescent="0.25">
      <c r="B147" s="47" t="s">
        <v>349</v>
      </c>
      <c r="C147" s="94"/>
      <c r="D147" s="52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8" spans="1:12" hidden="1" x14ac:dyDescent="0.25"/>
    <row r="149" spans="1:12" hidden="1" x14ac:dyDescent="0.25">
      <c r="A149" s="58"/>
      <c r="B149" s="58" t="s">
        <v>218</v>
      </c>
      <c r="C149" s="98"/>
      <c r="D149" s="60"/>
      <c r="E149" s="60">
        <f>E150+E153+E156+E165+E170</f>
        <v>0</v>
      </c>
      <c r="F149" s="60">
        <f t="shared" ref="F149:H149" si="36">F150+F153+F156+F165+F170</f>
        <v>0</v>
      </c>
      <c r="G149" s="60">
        <f t="shared" si="36"/>
        <v>0</v>
      </c>
      <c r="H149" s="60">
        <f t="shared" si="36"/>
        <v>0</v>
      </c>
    </row>
    <row r="150" spans="1:12" s="5" customFormat="1" hidden="1" x14ac:dyDescent="0.25">
      <c r="B150" s="5" t="s">
        <v>197</v>
      </c>
      <c r="C150" s="94"/>
      <c r="D150" s="52"/>
      <c r="E150" s="52">
        <f>E151+E154*E155</f>
        <v>0</v>
      </c>
      <c r="F150" s="52">
        <f>F151+F154*F155</f>
        <v>0</v>
      </c>
      <c r="G150" s="52">
        <f>G151+G154*G155</f>
        <v>0</v>
      </c>
      <c r="H150" s="52">
        <f t="shared" ref="H150" si="37">H151+H154*H155</f>
        <v>0</v>
      </c>
    </row>
    <row r="151" spans="1:12" hidden="1" x14ac:dyDescent="0.25">
      <c r="B151" s="47" t="s">
        <v>208</v>
      </c>
      <c r="F151" s="52">
        <f>('Rates and GI'!$D$56+'Rates and GI'!$D$60)*0</f>
        <v>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F152" s="52">
        <f>'Rates and GI'!$D$62*0</f>
        <v>0</v>
      </c>
      <c r="G152" s="52">
        <f>'Rates and GI'!$D$62*0</f>
        <v>0</v>
      </c>
      <c r="H152" s="52"/>
    </row>
    <row r="153" spans="1:12" hidden="1" x14ac:dyDescent="0.25">
      <c r="B153" s="5" t="s">
        <v>198</v>
      </c>
      <c r="E153" s="52">
        <f>E154*E155</f>
        <v>0</v>
      </c>
      <c r="F153" s="52">
        <f t="shared" ref="F153:H153" si="38">F154*F155</f>
        <v>0</v>
      </c>
      <c r="G153" s="52">
        <f t="shared" si="38"/>
        <v>0</v>
      </c>
      <c r="H153" s="52">
        <f t="shared" si="38"/>
        <v>0</v>
      </c>
    </row>
    <row r="154" spans="1:12" hidden="1" x14ac:dyDescent="0.25">
      <c r="B154" s="47" t="s">
        <v>186</v>
      </c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hidden="1" x14ac:dyDescent="0.25">
      <c r="B155" s="47" t="s">
        <v>185</v>
      </c>
      <c r="F155" s="52">
        <v>0</v>
      </c>
      <c r="G155" s="52">
        <v>0</v>
      </c>
      <c r="H155" s="52">
        <v>0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39">F157+F161</f>
        <v>0</v>
      </c>
      <c r="G156" s="52">
        <f t="shared" si="39"/>
        <v>0</v>
      </c>
      <c r="H156" s="52">
        <f t="shared" si="39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0">F158*F159</f>
        <v>0</v>
      </c>
      <c r="G157" s="52">
        <f t="shared" si="40"/>
        <v>0</v>
      </c>
      <c r="H157" s="52">
        <f t="shared" si="40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1">F162*F163</f>
        <v>0</v>
      </c>
      <c r="G161" s="52">
        <f t="shared" si="41"/>
        <v>0</v>
      </c>
      <c r="H161" s="52">
        <f t="shared" si="41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2">F166*F167*F168</f>
        <v>0</v>
      </c>
      <c r="G165" s="52">
        <f t="shared" si="42"/>
        <v>0</v>
      </c>
      <c r="H165" s="52">
        <f t="shared" si="42"/>
        <v>0</v>
      </c>
    </row>
    <row r="166" spans="1:12" hidden="1" x14ac:dyDescent="0.25">
      <c r="B166" s="47" t="s">
        <v>215</v>
      </c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/>
    <row r="170" spans="1:12" hidden="1" x14ac:dyDescent="0.25">
      <c r="B170" s="5" t="s">
        <v>196</v>
      </c>
      <c r="E170" s="52">
        <f>E171+E172*E173</f>
        <v>0</v>
      </c>
      <c r="F170" s="52">
        <f>F171+F172*F173</f>
        <v>0</v>
      </c>
      <c r="G170" s="52">
        <f>G171+G172*G173</f>
        <v>0</v>
      </c>
      <c r="H170" s="52">
        <f>H171+H172*H173</f>
        <v>0</v>
      </c>
    </row>
    <row r="171" spans="1:12" hidden="1" x14ac:dyDescent="0.25">
      <c r="B171" s="47" t="s">
        <v>172</v>
      </c>
      <c r="F171" s="52">
        <f>'Rates and GI'!D56*0</f>
        <v>0</v>
      </c>
    </row>
    <row r="172" spans="1:12" hidden="1" x14ac:dyDescent="0.25">
      <c r="B172" s="47" t="s">
        <v>178</v>
      </c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hidden="1" x14ac:dyDescent="0.25">
      <c r="B173" s="47" t="s">
        <v>179</v>
      </c>
      <c r="F173" s="52">
        <v>0</v>
      </c>
      <c r="G173" s="44">
        <v>0</v>
      </c>
    </row>
    <row r="174" spans="1:12" hidden="1" x14ac:dyDescent="0.25"/>
    <row r="175" spans="1:12" x14ac:dyDescent="0.25">
      <c r="A175" s="58"/>
      <c r="B175" s="86" t="s">
        <v>429</v>
      </c>
      <c r="C175" s="98"/>
      <c r="D175" s="60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102">
        <f>SUM(E176:H176)</f>
        <v>12</v>
      </c>
      <c r="D176" s="52"/>
      <c r="E176" s="52">
        <v>0</v>
      </c>
      <c r="F176" s="52">
        <v>9</v>
      </c>
      <c r="G176" s="52">
        <v>3</v>
      </c>
      <c r="H176" s="52">
        <v>0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Soft!E9</f>
        <v>1907290.0000000002</v>
      </c>
      <c r="D177" s="52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0</v>
      </c>
      <c r="F178" s="52">
        <f t="shared" ref="F178:H178" si="43">$C$177/$C$176*F176</f>
        <v>1430467.5</v>
      </c>
      <c r="G178" s="52">
        <f t="shared" si="43"/>
        <v>476822.5</v>
      </c>
      <c r="H178" s="52">
        <f t="shared" si="43"/>
        <v>0</v>
      </c>
      <c r="I178" s="70"/>
    </row>
    <row r="179" spans="1:12" x14ac:dyDescent="0.25">
      <c r="A179" s="58"/>
      <c r="B179" s="86"/>
      <c r="C179" s="98"/>
      <c r="D179" s="60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180"/>
  <sheetViews>
    <sheetView topLeftCell="A7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52" customWidth="1"/>
    <col min="5" max="5" width="12" style="52" bestFit="1" customWidth="1"/>
    <col min="6" max="6" width="11.5703125" style="52" bestFit="1" customWidth="1"/>
    <col min="7" max="7" width="10.28515625" style="44" bestFit="1" customWidth="1"/>
    <col min="8" max="8" width="10.42578125" style="44" bestFit="1" customWidth="1"/>
    <col min="9" max="16384" width="9.140625" style="6"/>
  </cols>
  <sheetData>
    <row r="1" spans="1:12" s="140" customFormat="1" ht="17.25" x14ac:dyDescent="0.3">
      <c r="A1" s="227">
        <v>37</v>
      </c>
      <c r="B1" s="228" t="s">
        <v>258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0</v>
      </c>
      <c r="E5" s="52">
        <f>E67</f>
        <v>0</v>
      </c>
      <c r="F5" s="52">
        <f t="shared" ref="F5:H5" si="1">F67</f>
        <v>0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2557.67589</v>
      </c>
      <c r="E6" s="52">
        <f>E71</f>
        <v>0</v>
      </c>
      <c r="F6" s="52">
        <f t="shared" ref="F6:H6" si="2">F71</f>
        <v>2557.67589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2557.67589</v>
      </c>
      <c r="E7" s="55">
        <f>SUBTOTAL(9,E5:E6)</f>
        <v>0</v>
      </c>
      <c r="F7" s="55">
        <f>SUBTOTAL(9,F5:F6)</f>
        <v>2557.67589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1823.3222366666669</v>
      </c>
      <c r="E10" s="52">
        <f>E91</f>
        <v>0</v>
      </c>
      <c r="F10" s="52">
        <f t="shared" ref="F10:H10" si="4">F91</f>
        <v>1823.3222366666669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1823.3222366666669</v>
      </c>
      <c r="E12" s="55">
        <f t="shared" ref="E12:H12" si="5">SUBTOTAL(9,E10:E11)</f>
        <v>0</v>
      </c>
      <c r="F12" s="55">
        <f t="shared" si="5"/>
        <v>1823.3222366666669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E99</f>
        <v>0</v>
      </c>
      <c r="F15" s="52">
        <f t="shared" ref="F15:H15" si="7">F99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5.25" customHeight="1" x14ac:dyDescent="0.25"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187.73999999999998</v>
      </c>
      <c r="E25" s="52">
        <f>E109</f>
        <v>0</v>
      </c>
      <c r="F25" s="52">
        <f t="shared" ref="F25:H25" si="13">F109</f>
        <v>187.73999999999998</v>
      </c>
      <c r="G25" s="52">
        <f t="shared" si="13"/>
        <v>0</v>
      </c>
      <c r="H25" s="52">
        <f t="shared" si="13"/>
        <v>0</v>
      </c>
      <c r="I25" s="70"/>
    </row>
    <row r="26" spans="1:12" x14ac:dyDescent="0.25">
      <c r="B26" s="17" t="s">
        <v>25</v>
      </c>
      <c r="D26" s="52">
        <f t="shared" ref="D26" si="14">SUM(E26:H26)</f>
        <v>0</v>
      </c>
      <c r="E26" s="52">
        <f>E134</f>
        <v>0</v>
      </c>
      <c r="F26" s="52">
        <f>F134</f>
        <v>0</v>
      </c>
      <c r="G26" s="52">
        <f>G134</f>
        <v>0</v>
      </c>
      <c r="H26" s="52">
        <f>H134</f>
        <v>0</v>
      </c>
      <c r="I26" s="70"/>
    </row>
    <row r="27" spans="1:12" x14ac:dyDescent="0.25">
      <c r="B27" s="17" t="s">
        <v>432</v>
      </c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187.73999999999998</v>
      </c>
      <c r="E28" s="55">
        <f t="shared" ref="E28:H28" si="15">SUBTOTAL(9,E25:E27)</f>
        <v>0</v>
      </c>
      <c r="F28" s="55">
        <f t="shared" si="15"/>
        <v>187.73999999999998</v>
      </c>
      <c r="G28" s="55">
        <f t="shared" si="15"/>
        <v>0</v>
      </c>
      <c r="H28" s="55">
        <f t="shared" si="15"/>
        <v>0</v>
      </c>
      <c r="I28" s="70"/>
    </row>
    <row r="29" spans="1:12" ht="6" customHeight="1" x14ac:dyDescent="0.25"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/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1"/>
      <c r="D39" s="52">
        <f t="shared" si="18"/>
        <v>0</v>
      </c>
    </row>
    <row r="40" spans="1:12" x14ac:dyDescent="0.25">
      <c r="A40" s="2"/>
      <c r="B40" s="2" t="s">
        <v>19</v>
      </c>
      <c r="C40" s="1"/>
      <c r="D40" s="52">
        <f t="shared" si="18"/>
        <v>0</v>
      </c>
    </row>
    <row r="41" spans="1:12" x14ac:dyDescent="0.25">
      <c r="A41" s="3"/>
      <c r="B41" s="3" t="s">
        <v>13</v>
      </c>
      <c r="C41" s="96"/>
      <c r="D41" s="52">
        <f t="shared" si="18"/>
        <v>0</v>
      </c>
    </row>
    <row r="42" spans="1:12" x14ac:dyDescent="0.25">
      <c r="A42" s="3"/>
      <c r="B42" s="3" t="s">
        <v>22</v>
      </c>
      <c r="C42" s="96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96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96586</v>
      </c>
      <c r="E46" s="52">
        <f>E178</f>
        <v>0</v>
      </c>
      <c r="F46" s="52">
        <f t="shared" ref="F46:H46" si="21">F178</f>
        <v>0</v>
      </c>
      <c r="G46" s="44">
        <f t="shared" si="21"/>
        <v>57951.6</v>
      </c>
      <c r="H46" s="44">
        <f t="shared" si="21"/>
        <v>38634.400000000001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96586</v>
      </c>
      <c r="E47" s="55">
        <f t="shared" ref="E47:H47" si="22">SUBTOTAL(9,E46)</f>
        <v>0</v>
      </c>
      <c r="F47" s="55">
        <f t="shared" si="22"/>
        <v>0</v>
      </c>
      <c r="G47" s="55">
        <f t="shared" si="22"/>
        <v>57951.6</v>
      </c>
      <c r="H47" s="55">
        <f t="shared" si="22"/>
        <v>38634.400000000001</v>
      </c>
    </row>
    <row r="48" spans="1:12" ht="4.5" customHeight="1" x14ac:dyDescent="0.25">
      <c r="A48" s="3"/>
      <c r="B48" s="6"/>
      <c r="C48" s="96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E149</f>
        <v>0</v>
      </c>
      <c r="F50" s="52">
        <f t="shared" ref="F50:H50" si="24">F149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0</v>
      </c>
      <c r="E51" s="52">
        <f>E139</f>
        <v>0</v>
      </c>
      <c r="F51" s="52">
        <f t="shared" ref="F51:H51" si="25">F139</f>
        <v>0</v>
      </c>
      <c r="G51" s="52">
        <f t="shared" si="25"/>
        <v>0</v>
      </c>
      <c r="H51" s="52">
        <f t="shared" si="25"/>
        <v>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0</v>
      </c>
      <c r="E52" s="55">
        <f>SUBTOTAL(9,E50:E51)</f>
        <v>0</v>
      </c>
      <c r="F52" s="55">
        <f>SUBTOTAL(9,F50:F51)</f>
        <v>0</v>
      </c>
      <c r="G52" s="55">
        <f>SUBTOTAL(9,G50:G51)</f>
        <v>0</v>
      </c>
      <c r="H52" s="55">
        <f>SUBTOTAL(9,H50:H51)</f>
        <v>0</v>
      </c>
    </row>
    <row r="53" spans="1:12" ht="5.25" customHeight="1" x14ac:dyDescent="0.25">
      <c r="A53" s="1"/>
      <c r="B53" s="1"/>
      <c r="C53" s="1"/>
    </row>
    <row r="54" spans="1:12" ht="14.25" thickBot="1" x14ac:dyDescent="0.3">
      <c r="A54" s="56"/>
      <c r="B54" s="56" t="s">
        <v>160</v>
      </c>
      <c r="C54" s="97"/>
      <c r="D54" s="57">
        <f>SUBTOTAL(9,D5:D52)</f>
        <v>101154.73812666666</v>
      </c>
      <c r="E54" s="57">
        <f>SUBTOTAL(9,E5:E52)</f>
        <v>0</v>
      </c>
      <c r="F54" s="57">
        <f>SUBTOTAL(9,F5:F52)</f>
        <v>4568.7381266666671</v>
      </c>
      <c r="G54" s="57">
        <f>SUBTOTAL(9,G5:G52)</f>
        <v>57951.6</v>
      </c>
      <c r="H54" s="57">
        <f>SUBTOTAL(9,H5:H52)</f>
        <v>38634.400000000001</v>
      </c>
    </row>
    <row r="55" spans="1:12" ht="14.25" thickBot="1" x14ac:dyDescent="0.3">
      <c r="A55" s="1"/>
      <c r="B55" s="1"/>
      <c r="C55" s="1"/>
      <c r="D55" s="36"/>
      <c r="E55" s="36"/>
      <c r="F55" s="36"/>
      <c r="G55" s="29"/>
      <c r="H55" s="29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  <c r="D57" s="36"/>
      <c r="E57" s="36"/>
      <c r="F57" s="36"/>
      <c r="G57" s="29"/>
      <c r="H57" s="29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  <c r="D59" s="36"/>
      <c r="E59" s="36"/>
      <c r="F59" s="36"/>
      <c r="G59" s="29"/>
      <c r="H59" s="29"/>
    </row>
    <row r="60" spans="1:12" hidden="1" x14ac:dyDescent="0.25">
      <c r="A60" s="58"/>
      <c r="B60" s="58" t="s">
        <v>0</v>
      </c>
      <c r="C60" s="98"/>
      <c r="D60" s="60"/>
      <c r="E60" s="60"/>
      <c r="F60" s="60"/>
      <c r="G60" s="60"/>
      <c r="H60" s="60"/>
    </row>
    <row r="61" spans="1:12" hidden="1" x14ac:dyDescent="0.25">
      <c r="B61" s="5" t="s">
        <v>2</v>
      </c>
      <c r="E61" s="52">
        <f>E62*E63*E64*E65</f>
        <v>0</v>
      </c>
      <c r="F61" s="52">
        <f t="shared" ref="F61:H61" si="26">F62*F63*F64*F65</f>
        <v>0</v>
      </c>
      <c r="G61" s="52">
        <f t="shared" si="26"/>
        <v>0</v>
      </c>
      <c r="H61" s="52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52">
        <v>0</v>
      </c>
      <c r="F62" s="52">
        <v>0</v>
      </c>
      <c r="G62" s="52">
        <v>0</v>
      </c>
      <c r="H62" s="52">
        <v>0</v>
      </c>
      <c r="I62" s="70"/>
    </row>
    <row r="63" spans="1:12" hidden="1" x14ac:dyDescent="0.25">
      <c r="A63" s="9"/>
      <c r="B63" s="9" t="s">
        <v>38</v>
      </c>
      <c r="C63" s="99"/>
      <c r="D63" s="53"/>
      <c r="E63" s="53">
        <v>0</v>
      </c>
      <c r="F63" s="76">
        <f>3/22</f>
        <v>0.13636363636363635</v>
      </c>
      <c r="G63" s="76">
        <f t="shared" ref="G63:H63" si="27">3/22</f>
        <v>0.13636363636363635</v>
      </c>
      <c r="H63" s="76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52">
        <f>'Rates and GI'!D11</f>
        <v>0</v>
      </c>
      <c r="F64" s="52">
        <f>E64*(1+index)</f>
        <v>0</v>
      </c>
      <c r="G64" s="52">
        <f>F64*(1+index)</f>
        <v>0</v>
      </c>
      <c r="H64" s="52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54">
        <v>0</v>
      </c>
      <c r="F65" s="52">
        <v>4</v>
      </c>
      <c r="G65" s="44">
        <v>12</v>
      </c>
      <c r="H65" s="44">
        <v>12</v>
      </c>
      <c r="I65" s="70"/>
    </row>
    <row r="66" spans="1:12" hidden="1" x14ac:dyDescent="0.25">
      <c r="A66" s="9"/>
      <c r="B66" s="9"/>
      <c r="C66" s="99"/>
      <c r="I66" s="70"/>
    </row>
    <row r="67" spans="1:12" hidden="1" x14ac:dyDescent="0.25">
      <c r="B67" s="5" t="s">
        <v>23</v>
      </c>
      <c r="E67" s="52">
        <f>E68*E69</f>
        <v>0</v>
      </c>
      <c r="F67" s="52">
        <f t="shared" ref="F67:H67" si="28">F68*F69</f>
        <v>0</v>
      </c>
      <c r="G67" s="52">
        <f t="shared" si="28"/>
        <v>0</v>
      </c>
      <c r="H67" s="52">
        <f t="shared" si="28"/>
        <v>0</v>
      </c>
      <c r="I67" s="70"/>
    </row>
    <row r="68" spans="1:12" hidden="1" x14ac:dyDescent="0.25">
      <c r="A68" s="9"/>
      <c r="B68" s="9" t="s">
        <v>129</v>
      </c>
      <c r="C68" s="99" t="s">
        <v>128</v>
      </c>
      <c r="E68" s="52">
        <v>0</v>
      </c>
      <c r="F68" s="52">
        <v>0</v>
      </c>
      <c r="G68" s="52">
        <v>0</v>
      </c>
      <c r="H68" s="52">
        <v>0</v>
      </c>
      <c r="I68" s="70"/>
    </row>
    <row r="69" spans="1:12" hidden="1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hidden="1" x14ac:dyDescent="0.25">
      <c r="I70" s="70"/>
    </row>
    <row r="71" spans="1:12" s="7" customFormat="1" x14ac:dyDescent="0.25">
      <c r="A71" s="5"/>
      <c r="B71" s="5" t="s">
        <v>191</v>
      </c>
      <c r="C71" s="94"/>
      <c r="D71" s="52"/>
      <c r="E71" s="52">
        <f>E72*E73</f>
        <v>0</v>
      </c>
      <c r="F71" s="52">
        <f t="shared" ref="F71:H71" si="29">F72*F73</f>
        <v>2557.67589</v>
      </c>
      <c r="G71" s="52">
        <f t="shared" si="29"/>
        <v>0</v>
      </c>
      <c r="H71" s="52">
        <f t="shared" si="29"/>
        <v>0</v>
      </c>
      <c r="I71" s="70"/>
      <c r="J71" s="6"/>
      <c r="K71" s="6"/>
      <c r="L71" s="6"/>
    </row>
    <row r="72" spans="1:12" s="7" customFormat="1" x14ac:dyDescent="0.25">
      <c r="A72" s="9"/>
      <c r="B72" s="9" t="s">
        <v>193</v>
      </c>
      <c r="C72" s="99" t="s">
        <v>128</v>
      </c>
      <c r="D72" s="52"/>
      <c r="E72" s="52">
        <v>0</v>
      </c>
      <c r="F72" s="52">
        <v>15</v>
      </c>
      <c r="G72" s="52">
        <v>0</v>
      </c>
      <c r="H72" s="52">
        <v>0</v>
      </c>
      <c r="I72" s="70"/>
      <c r="J72" s="6"/>
      <c r="K72" s="6"/>
      <c r="L72" s="6"/>
    </row>
    <row r="73" spans="1:12" s="7" customFormat="1" x14ac:dyDescent="0.25">
      <c r="A73" s="9"/>
      <c r="B73" s="9" t="s">
        <v>41</v>
      </c>
      <c r="C73" s="99"/>
      <c r="D73" s="52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I74" s="70"/>
    </row>
    <row r="75" spans="1:12" s="7" customFormat="1" hidden="1" x14ac:dyDescent="0.25">
      <c r="A75" s="5"/>
      <c r="B75" s="5" t="s">
        <v>1</v>
      </c>
      <c r="C75" s="94"/>
      <c r="D75" s="52"/>
      <c r="E75" s="52"/>
      <c r="F75" s="52"/>
      <c r="G75" s="44"/>
      <c r="H75" s="44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52"/>
      <c r="E76" s="52">
        <v>0</v>
      </c>
      <c r="F76" s="52"/>
      <c r="G76" s="44"/>
      <c r="H76" s="44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52"/>
      <c r="E77" s="52">
        <v>0</v>
      </c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52"/>
      <c r="E85" s="52"/>
      <c r="F85" s="52"/>
      <c r="G85" s="44"/>
      <c r="H85" s="44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52"/>
      <c r="E86" s="52">
        <v>0</v>
      </c>
      <c r="F86" s="52"/>
      <c r="G86" s="44"/>
      <c r="H86" s="44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52"/>
      <c r="E87" s="52">
        <v>0</v>
      </c>
      <c r="F87" s="52"/>
      <c r="G87" s="44"/>
      <c r="H87" s="44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52"/>
      <c r="E89" s="54"/>
      <c r="F89" s="52"/>
      <c r="G89" s="44"/>
      <c r="H89" s="44"/>
      <c r="I89" s="6"/>
      <c r="J89" s="6"/>
      <c r="K89" s="6"/>
      <c r="L89" s="6"/>
    </row>
    <row r="91" spans="1:12" x14ac:dyDescent="0.25">
      <c r="A91" s="58"/>
      <c r="B91" s="58" t="s">
        <v>10</v>
      </c>
      <c r="C91" s="98"/>
      <c r="D91" s="60"/>
      <c r="E91" s="60">
        <f>E92*E93+E95*E96</f>
        <v>0</v>
      </c>
      <c r="F91" s="60">
        <f t="shared" ref="F91:H91" si="30">F92*F93+F95*F96</f>
        <v>1823.3222366666669</v>
      </c>
      <c r="G91" s="60">
        <f t="shared" si="30"/>
        <v>0</v>
      </c>
      <c r="H91" s="60">
        <f t="shared" si="30"/>
        <v>0</v>
      </c>
    </row>
    <row r="92" spans="1:12" s="7" customFormat="1" x14ac:dyDescent="0.25">
      <c r="A92" s="5"/>
      <c r="B92" s="9" t="s">
        <v>50</v>
      </c>
      <c r="C92" s="94"/>
      <c r="D92" s="52"/>
      <c r="E92" s="52">
        <v>0</v>
      </c>
      <c r="F92" s="52">
        <v>2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x14ac:dyDescent="0.25">
      <c r="A93" s="5"/>
      <c r="B93" s="9" t="s">
        <v>51</v>
      </c>
      <c r="C93" s="94"/>
      <c r="D93" s="52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/>
    <row r="95" spans="1:12" s="7" customFormat="1" hidden="1" x14ac:dyDescent="0.25">
      <c r="A95" s="5"/>
      <c r="B95" s="9" t="s">
        <v>52</v>
      </c>
      <c r="C95" s="94"/>
      <c r="D95" s="52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52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/>
    <row r="99" spans="1:12" hidden="1" x14ac:dyDescent="0.25">
      <c r="A99" s="58"/>
      <c r="B99" s="58" t="s">
        <v>194</v>
      </c>
      <c r="C99" s="98"/>
      <c r="D99" s="60"/>
      <c r="E99" s="60">
        <f>E100*E101</f>
        <v>0</v>
      </c>
      <c r="F99" s="60">
        <f t="shared" ref="F99:H99" si="31">F100*F101</f>
        <v>0</v>
      </c>
      <c r="G99" s="60">
        <f t="shared" si="31"/>
        <v>0</v>
      </c>
      <c r="H99" s="60">
        <f t="shared" si="31"/>
        <v>0</v>
      </c>
    </row>
    <row r="100" spans="1:12" s="7" customFormat="1" hidden="1" x14ac:dyDescent="0.25">
      <c r="A100" s="10"/>
      <c r="B100" s="45" t="s">
        <v>162</v>
      </c>
      <c r="C100" s="100" t="s">
        <v>163</v>
      </c>
      <c r="D100" s="52"/>
      <c r="E100" s="52">
        <v>0</v>
      </c>
      <c r="F100" s="52">
        <v>0</v>
      </c>
      <c r="G100" s="52">
        <v>0</v>
      </c>
      <c r="H100" s="52">
        <v>0</v>
      </c>
      <c r="I100" s="6"/>
      <c r="J100" s="6"/>
      <c r="K100" s="6"/>
      <c r="L100" s="6"/>
    </row>
    <row r="101" spans="1:12" s="7" customFormat="1" hidden="1" x14ac:dyDescent="0.25">
      <c r="A101" s="5"/>
      <c r="B101" s="45" t="s">
        <v>159</v>
      </c>
      <c r="C101" s="94"/>
      <c r="D101" s="52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hidden="1" x14ac:dyDescent="0.25"/>
    <row r="103" spans="1:12" hidden="1" x14ac:dyDescent="0.25">
      <c r="A103" s="58"/>
      <c r="B103" s="58" t="s">
        <v>148</v>
      </c>
      <c r="C103" s="98"/>
      <c r="D103" s="60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F105" s="52">
        <v>0</v>
      </c>
      <c r="G105" s="52">
        <v>0</v>
      </c>
      <c r="H105" s="52">
        <v>0</v>
      </c>
    </row>
    <row r="106" spans="1:12" hidden="1" x14ac:dyDescent="0.25">
      <c r="B106" s="45" t="s">
        <v>152</v>
      </c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  <c r="I107" s="70"/>
    </row>
    <row r="108" spans="1:12" hidden="1" x14ac:dyDescent="0.25">
      <c r="B108" s="45"/>
      <c r="I108" s="70"/>
    </row>
    <row r="109" spans="1:12" x14ac:dyDescent="0.25">
      <c r="A109" s="58"/>
      <c r="B109" s="58" t="s">
        <v>24</v>
      </c>
      <c r="C109" s="98"/>
      <c r="D109" s="60"/>
      <c r="E109" s="60">
        <f>E110*E111</f>
        <v>0</v>
      </c>
      <c r="F109" s="60">
        <f t="shared" ref="F109:H109" si="33">F110*F111</f>
        <v>187.73999999999998</v>
      </c>
      <c r="G109" s="60">
        <f t="shared" si="33"/>
        <v>0</v>
      </c>
      <c r="H109" s="60">
        <f t="shared" si="33"/>
        <v>0</v>
      </c>
      <c r="I109" s="70"/>
    </row>
    <row r="110" spans="1:12" s="7" customFormat="1" x14ac:dyDescent="0.25">
      <c r="A110" s="5"/>
      <c r="B110" s="45" t="s">
        <v>54</v>
      </c>
      <c r="C110" s="94"/>
      <c r="D110" s="52"/>
      <c r="E110" s="52">
        <v>0</v>
      </c>
      <c r="F110" s="52">
        <v>30</v>
      </c>
      <c r="G110" s="52">
        <v>0</v>
      </c>
      <c r="H110" s="52">
        <v>0</v>
      </c>
      <c r="I110" s="70"/>
      <c r="J110" s="6"/>
      <c r="K110" s="6"/>
      <c r="L110" s="6"/>
    </row>
    <row r="111" spans="1:12" s="7" customFormat="1" x14ac:dyDescent="0.25">
      <c r="A111" s="5"/>
      <c r="B111" s="45" t="s">
        <v>55</v>
      </c>
      <c r="C111" s="94"/>
      <c r="D111" s="52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70"/>
      <c r="J111" s="6"/>
      <c r="K111" s="6"/>
      <c r="L111" s="6"/>
    </row>
    <row r="112" spans="1:12" x14ac:dyDescent="0.25">
      <c r="I112" s="70"/>
    </row>
    <row r="113" spans="1:12" hidden="1" x14ac:dyDescent="0.25">
      <c r="A113" s="58"/>
      <c r="B113" s="58" t="s">
        <v>7</v>
      </c>
      <c r="C113" s="98"/>
      <c r="D113" s="60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94"/>
      <c r="D114" s="52"/>
      <c r="E114" s="52"/>
      <c r="F114" s="52"/>
      <c r="G114" s="44"/>
      <c r="H114" s="44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91"/>
      <c r="E116" s="91"/>
      <c r="F116" s="91"/>
      <c r="G116" s="92"/>
      <c r="H116" s="92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91"/>
      <c r="E117" s="91"/>
      <c r="F117" s="91"/>
      <c r="G117" s="92"/>
      <c r="H117" s="92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60"/>
      <c r="E119" s="60"/>
      <c r="F119" s="60"/>
      <c r="G119" s="60"/>
      <c r="H119" s="60"/>
    </row>
    <row r="120" spans="1:12" s="5" customFormat="1" hidden="1" x14ac:dyDescent="0.25">
      <c r="B120" s="63" t="s">
        <v>61</v>
      </c>
      <c r="C120" s="94"/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hidden="1" x14ac:dyDescent="0.25"/>
    <row r="130" spans="1:12" hidden="1" x14ac:dyDescent="0.25">
      <c r="A130" s="58"/>
      <c r="B130" s="58" t="s">
        <v>25</v>
      </c>
      <c r="C130" s="98"/>
      <c r="D130" s="60"/>
      <c r="E130" s="60"/>
      <c r="F130" s="60"/>
      <c r="G130" s="60"/>
      <c r="H130" s="60"/>
    </row>
    <row r="131" spans="1:12" s="5" customFormat="1" hidden="1" x14ac:dyDescent="0.25">
      <c r="B131" s="47" t="s">
        <v>64</v>
      </c>
      <c r="C131" s="94"/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52"/>
      <c r="E132" s="52"/>
      <c r="F132" s="52"/>
      <c r="G132" s="44"/>
      <c r="H132" s="44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52"/>
      <c r="E133" s="52"/>
      <c r="F133" s="52"/>
      <c r="G133" s="44"/>
      <c r="H133" s="44"/>
      <c r="I133" s="6"/>
      <c r="J133" s="6"/>
      <c r="K133" s="6"/>
      <c r="L133" s="6"/>
    </row>
    <row r="134" spans="1:12" s="5" customFormat="1" hidden="1" x14ac:dyDescent="0.25">
      <c r="B134" s="5" t="s">
        <v>173</v>
      </c>
      <c r="C134" s="94"/>
      <c r="D134" s="52"/>
      <c r="E134" s="52">
        <f>E135+E136*E137</f>
        <v>0</v>
      </c>
      <c r="F134" s="52">
        <f t="shared" ref="F134:H134" si="34">F135+F136*F137</f>
        <v>0</v>
      </c>
      <c r="G134" s="52">
        <f t="shared" si="34"/>
        <v>0</v>
      </c>
      <c r="H134" s="52">
        <f t="shared" si="34"/>
        <v>0</v>
      </c>
    </row>
    <row r="135" spans="1:12" hidden="1" x14ac:dyDescent="0.25">
      <c r="B135" s="47" t="s">
        <v>220</v>
      </c>
      <c r="F135" s="52">
        <f>'Rates and GI'!D56*0</f>
        <v>0</v>
      </c>
    </row>
    <row r="136" spans="1:12" hidden="1" x14ac:dyDescent="0.25">
      <c r="B136" s="47" t="s">
        <v>178</v>
      </c>
      <c r="E136" s="68">
        <f>'Rates and GI'!$D$58</f>
        <v>0.05</v>
      </c>
      <c r="F136" s="68">
        <f>'Rates and GI'!$D$58</f>
        <v>0.05</v>
      </c>
      <c r="G136" s="68">
        <f>'Rates and GI'!$D$58</f>
        <v>0.05</v>
      </c>
      <c r="H136" s="68">
        <f>'Rates and GI'!$D$58</f>
        <v>0.05</v>
      </c>
    </row>
    <row r="137" spans="1:12" hidden="1" x14ac:dyDescent="0.25">
      <c r="B137" s="47" t="s">
        <v>179</v>
      </c>
      <c r="E137" s="52">
        <v>0</v>
      </c>
      <c r="F137" s="52">
        <v>0</v>
      </c>
      <c r="G137" s="52">
        <v>0</v>
      </c>
      <c r="H137" s="52">
        <v>0</v>
      </c>
    </row>
    <row r="138" spans="1:12" s="5" customFormat="1" hidden="1" x14ac:dyDescent="0.25">
      <c r="B138" s="47"/>
      <c r="C138" s="94"/>
      <c r="D138" s="52"/>
      <c r="E138" s="52"/>
      <c r="F138" s="52"/>
      <c r="G138" s="44"/>
      <c r="H138" s="44"/>
      <c r="I138" s="6"/>
      <c r="J138" s="6"/>
      <c r="K138" s="6"/>
      <c r="L138" s="6"/>
    </row>
    <row r="139" spans="1:12" hidden="1" x14ac:dyDescent="0.25">
      <c r="A139" s="58"/>
      <c r="B139" s="58" t="s">
        <v>21</v>
      </c>
      <c r="C139" s="98"/>
      <c r="D139" s="60"/>
      <c r="E139" s="60">
        <f>E140*E141+E142*E143++E144*E145+E146*E147</f>
        <v>0</v>
      </c>
      <c r="F139" s="60">
        <f t="shared" ref="F139:H139" si="35">F140*F141+F142*F143++F144*F145+F146*F147</f>
        <v>0</v>
      </c>
      <c r="G139" s="60">
        <f t="shared" si="35"/>
        <v>0</v>
      </c>
      <c r="H139" s="60">
        <f t="shared" si="35"/>
        <v>0</v>
      </c>
    </row>
    <row r="140" spans="1:12" hidden="1" x14ac:dyDescent="0.25">
      <c r="B140" s="47" t="s">
        <v>169</v>
      </c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hidden="1" x14ac:dyDescent="0.25">
      <c r="B144" s="71" t="s">
        <v>183</v>
      </c>
      <c r="E144" s="52">
        <v>0</v>
      </c>
      <c r="F144" s="52">
        <v>0</v>
      </c>
      <c r="G144" s="52">
        <v>0</v>
      </c>
      <c r="H144" s="52">
        <v>0</v>
      </c>
    </row>
    <row r="145" spans="1:12" ht="27" hidden="1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hidden="1" x14ac:dyDescent="0.25">
      <c r="B146" s="47" t="s">
        <v>354</v>
      </c>
      <c r="C146" s="94"/>
      <c r="D146" s="52"/>
      <c r="E146" s="52">
        <v>0</v>
      </c>
      <c r="F146" s="52">
        <v>0</v>
      </c>
      <c r="G146" s="44">
        <v>0</v>
      </c>
      <c r="H146" s="44">
        <v>0</v>
      </c>
      <c r="I146" s="6"/>
      <c r="J146" s="6"/>
      <c r="K146" s="6"/>
      <c r="L146" s="6"/>
    </row>
    <row r="147" spans="1:12" s="5" customFormat="1" hidden="1" x14ac:dyDescent="0.25">
      <c r="B147" s="47" t="s">
        <v>349</v>
      </c>
      <c r="C147" s="94"/>
      <c r="D147" s="52"/>
      <c r="E147" s="52">
        <f>'Rates and GI'!$D$72</f>
        <v>50</v>
      </c>
      <c r="F147" s="52">
        <f>'Rates and GI'!$D$72</f>
        <v>50</v>
      </c>
      <c r="G147" s="52">
        <f>'Rates and GI'!$D$72</f>
        <v>50</v>
      </c>
      <c r="H147" s="52">
        <f>'Rates and GI'!$D$72</f>
        <v>50</v>
      </c>
      <c r="I147" s="6"/>
      <c r="J147" s="6"/>
      <c r="K147" s="6"/>
      <c r="L147" s="6"/>
    </row>
    <row r="148" spans="1:12" hidden="1" x14ac:dyDescent="0.25"/>
    <row r="149" spans="1:12" hidden="1" x14ac:dyDescent="0.25">
      <c r="A149" s="58"/>
      <c r="B149" s="58" t="s">
        <v>218</v>
      </c>
      <c r="C149" s="98"/>
      <c r="D149" s="60"/>
      <c r="E149" s="60">
        <f>E150+E153+E156+E165+E170</f>
        <v>0</v>
      </c>
      <c r="F149" s="60">
        <f t="shared" ref="F149:H149" si="36">F150+F153+F156+F165+F170</f>
        <v>0</v>
      </c>
      <c r="G149" s="60">
        <f t="shared" si="36"/>
        <v>0</v>
      </c>
      <c r="H149" s="60">
        <f t="shared" si="36"/>
        <v>0</v>
      </c>
    </row>
    <row r="150" spans="1:12" s="5" customFormat="1" hidden="1" x14ac:dyDescent="0.25">
      <c r="B150" s="5" t="s">
        <v>197</v>
      </c>
      <c r="C150" s="94"/>
      <c r="D150" s="52"/>
      <c r="E150" s="52">
        <f>E151+E154*E155</f>
        <v>0</v>
      </c>
      <c r="F150" s="52">
        <f>F151+F154*F155</f>
        <v>0</v>
      </c>
      <c r="G150" s="52">
        <f>G151+G154*G155</f>
        <v>0</v>
      </c>
      <c r="H150" s="52">
        <f t="shared" ref="H150" si="37">H151+H154*H155</f>
        <v>0</v>
      </c>
    </row>
    <row r="151" spans="1:12" hidden="1" x14ac:dyDescent="0.25">
      <c r="B151" s="47" t="s">
        <v>208</v>
      </c>
      <c r="F151" s="52">
        <f>('Rates and GI'!$D$56+'Rates and GI'!$D$60)*0</f>
        <v>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F152" s="52">
        <f>'Rates and GI'!$D$62*0</f>
        <v>0</v>
      </c>
      <c r="G152" s="52">
        <f>'Rates and GI'!$D$62*0</f>
        <v>0</v>
      </c>
      <c r="H152" s="52"/>
    </row>
    <row r="153" spans="1:12" hidden="1" x14ac:dyDescent="0.25">
      <c r="B153" s="5" t="s">
        <v>198</v>
      </c>
      <c r="E153" s="52">
        <f>E154*E155</f>
        <v>0</v>
      </c>
      <c r="F153" s="52">
        <f t="shared" ref="F153:H153" si="38">F154*F155</f>
        <v>0</v>
      </c>
      <c r="G153" s="52">
        <f t="shared" si="38"/>
        <v>0</v>
      </c>
      <c r="H153" s="52">
        <f t="shared" si="38"/>
        <v>0</v>
      </c>
    </row>
    <row r="154" spans="1:12" hidden="1" x14ac:dyDescent="0.25">
      <c r="B154" s="47" t="s">
        <v>186</v>
      </c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hidden="1" x14ac:dyDescent="0.25">
      <c r="B155" s="47" t="s">
        <v>185</v>
      </c>
      <c r="F155" s="52">
        <v>0</v>
      </c>
      <c r="G155" s="52">
        <v>0</v>
      </c>
      <c r="H155" s="52">
        <v>0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39">F157+F161</f>
        <v>0</v>
      </c>
      <c r="G156" s="52">
        <f t="shared" si="39"/>
        <v>0</v>
      </c>
      <c r="H156" s="52">
        <f t="shared" si="39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0">F158*F159</f>
        <v>0</v>
      </c>
      <c r="G157" s="52">
        <f t="shared" si="40"/>
        <v>0</v>
      </c>
      <c r="H157" s="52">
        <f t="shared" si="40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1">F162*F163</f>
        <v>0</v>
      </c>
      <c r="G161" s="52">
        <f t="shared" si="41"/>
        <v>0</v>
      </c>
      <c r="H161" s="52">
        <f t="shared" si="41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2">F166*F167*F168</f>
        <v>0</v>
      </c>
      <c r="G165" s="52">
        <f t="shared" si="42"/>
        <v>0</v>
      </c>
      <c r="H165" s="52">
        <f t="shared" si="42"/>
        <v>0</v>
      </c>
    </row>
    <row r="166" spans="1:12" hidden="1" x14ac:dyDescent="0.25">
      <c r="B166" s="47" t="s">
        <v>215</v>
      </c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/>
    <row r="170" spans="1:12" hidden="1" x14ac:dyDescent="0.25">
      <c r="B170" s="5" t="s">
        <v>196</v>
      </c>
      <c r="E170" s="52">
        <f>E171+E172*E173</f>
        <v>0</v>
      </c>
      <c r="F170" s="52">
        <f>F171+F172*F173</f>
        <v>0</v>
      </c>
      <c r="G170" s="52">
        <f>G171+G172*G173</f>
        <v>0</v>
      </c>
      <c r="H170" s="52">
        <f>H171+H172*H173</f>
        <v>0</v>
      </c>
    </row>
    <row r="171" spans="1:12" hidden="1" x14ac:dyDescent="0.25">
      <c r="B171" s="47" t="s">
        <v>172</v>
      </c>
      <c r="F171" s="52">
        <f>'Rates and GI'!D56*0</f>
        <v>0</v>
      </c>
    </row>
    <row r="172" spans="1:12" hidden="1" x14ac:dyDescent="0.25">
      <c r="B172" s="47" t="s">
        <v>178</v>
      </c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hidden="1" x14ac:dyDescent="0.25">
      <c r="B173" s="47" t="s">
        <v>179</v>
      </c>
      <c r="F173" s="52">
        <v>0</v>
      </c>
      <c r="G173" s="44">
        <v>0</v>
      </c>
    </row>
    <row r="174" spans="1:12" hidden="1" x14ac:dyDescent="0.25"/>
    <row r="175" spans="1:12" x14ac:dyDescent="0.25">
      <c r="A175" s="58"/>
      <c r="B175" s="86" t="s">
        <v>429</v>
      </c>
      <c r="C175" s="98"/>
      <c r="D175" s="60"/>
      <c r="E175" s="60"/>
      <c r="F175" s="60"/>
      <c r="G175" s="60"/>
      <c r="H175" s="60"/>
    </row>
    <row r="176" spans="1:12" s="7" customFormat="1" x14ac:dyDescent="0.25">
      <c r="A176" s="10"/>
      <c r="B176" s="45" t="s">
        <v>263</v>
      </c>
      <c r="C176" s="102">
        <f>SUM(E176:H176)</f>
        <v>15</v>
      </c>
      <c r="D176" s="52"/>
      <c r="E176" s="52">
        <v>0</v>
      </c>
      <c r="F176" s="52">
        <v>0</v>
      </c>
      <c r="G176" s="52">
        <v>9</v>
      </c>
      <c r="H176" s="52">
        <v>6</v>
      </c>
      <c r="I176" s="70"/>
      <c r="J176" s="6"/>
      <c r="K176" s="6"/>
      <c r="L176" s="6"/>
    </row>
    <row r="177" spans="1:12" s="7" customFormat="1" x14ac:dyDescent="0.25">
      <c r="A177" s="5"/>
      <c r="B177" s="45" t="s">
        <v>264</v>
      </c>
      <c r="C177" s="52">
        <f>Soft!E10</f>
        <v>96586</v>
      </c>
      <c r="D177" s="52"/>
      <c r="E177" s="52"/>
      <c r="F177" s="52"/>
      <c r="G177" s="52"/>
      <c r="H177" s="52"/>
      <c r="I177" s="70"/>
      <c r="J177" s="6"/>
      <c r="K177" s="6"/>
      <c r="L177" s="6"/>
    </row>
    <row r="178" spans="1:12" x14ac:dyDescent="0.25">
      <c r="B178" s="45" t="s">
        <v>265</v>
      </c>
      <c r="E178" s="52">
        <f>$C$177/$C$176*E176</f>
        <v>0</v>
      </c>
      <c r="F178" s="52">
        <f t="shared" ref="F178:H178" si="43">$C$177/$C$176*F176</f>
        <v>0</v>
      </c>
      <c r="G178" s="52">
        <f t="shared" si="43"/>
        <v>57951.6</v>
      </c>
      <c r="H178" s="52">
        <f t="shared" si="43"/>
        <v>38634.400000000001</v>
      </c>
      <c r="I178" s="70"/>
    </row>
    <row r="179" spans="1:12" x14ac:dyDescent="0.25">
      <c r="A179" s="58"/>
      <c r="B179" s="86"/>
      <c r="C179" s="98"/>
      <c r="D179" s="60"/>
      <c r="E179" s="60"/>
      <c r="F179" s="60"/>
      <c r="G179" s="60"/>
      <c r="H179" s="6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70"/>
  <sheetViews>
    <sheetView topLeftCell="A16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7" customWidth="1"/>
    <col min="5" max="5" width="11.85546875" style="7" bestFit="1" customWidth="1"/>
    <col min="6" max="6" width="10.140625" style="7" bestFit="1" customWidth="1"/>
    <col min="7" max="7" width="10" style="8" bestFit="1" customWidth="1"/>
    <col min="8" max="8" width="10.28515625" style="8" bestFit="1" customWidth="1"/>
    <col min="9" max="16384" width="9.140625" style="6"/>
  </cols>
  <sheetData>
    <row r="1" spans="1:12" s="140" customFormat="1" ht="17.25" x14ac:dyDescent="0.3">
      <c r="A1" s="227">
        <v>42</v>
      </c>
      <c r="B1" s="228" t="s">
        <v>195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3166.4757426214496</v>
      </c>
      <c r="E5" s="52">
        <f>E63</f>
        <v>742.35</v>
      </c>
      <c r="F5" s="52">
        <f t="shared" ref="F5:H5" si="1">F63</f>
        <v>774.27104999999995</v>
      </c>
      <c r="G5" s="52">
        <f t="shared" si="1"/>
        <v>807.5647051499999</v>
      </c>
      <c r="H5" s="52">
        <f t="shared" si="1"/>
        <v>842.28998747144988</v>
      </c>
      <c r="I5" s="70"/>
    </row>
    <row r="6" spans="1:12" x14ac:dyDescent="0.25">
      <c r="B6" s="17" t="s">
        <v>191</v>
      </c>
      <c r="D6" s="52">
        <f t="shared" si="0"/>
        <v>14643.897803542855</v>
      </c>
      <c r="E6" s="52">
        <f>E67</f>
        <v>3433.1220000000008</v>
      </c>
      <c r="F6" s="52">
        <f t="shared" ref="F6:H6" si="2">F67</f>
        <v>3580.7462460000002</v>
      </c>
      <c r="G6" s="52">
        <f t="shared" si="2"/>
        <v>3734.7183345779999</v>
      </c>
      <c r="H6" s="52">
        <f t="shared" si="2"/>
        <v>3895.3112229648536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17810.373546164305</v>
      </c>
      <c r="E7" s="55">
        <f>SUBTOTAL(9,E5:E6)</f>
        <v>4175.4720000000007</v>
      </c>
      <c r="F7" s="55">
        <f>SUBTOTAL(9,F5:F6)</f>
        <v>4355.017296</v>
      </c>
      <c r="G7" s="55">
        <f>SUBTOTAL(9,G5:G6)</f>
        <v>4542.2830397279995</v>
      </c>
      <c r="H7" s="55">
        <f>SUBTOTAL(9,H5:H6)</f>
        <v>4737.6012104363035</v>
      </c>
      <c r="I7" s="70"/>
    </row>
    <row r="8" spans="1:12" ht="6" customHeight="1" x14ac:dyDescent="0.25">
      <c r="D8" s="36"/>
      <c r="E8" s="36"/>
      <c r="F8" s="36"/>
      <c r="G8" s="29"/>
      <c r="H8" s="29"/>
      <c r="I8" s="70"/>
    </row>
    <row r="9" spans="1:12" x14ac:dyDescent="0.25">
      <c r="A9" s="16"/>
      <c r="B9" s="16" t="s">
        <v>11</v>
      </c>
      <c r="C9" s="16"/>
      <c r="D9" s="34"/>
      <c r="E9" s="34"/>
      <c r="F9" s="34"/>
      <c r="G9" s="35"/>
      <c r="H9" s="35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D13" s="36"/>
      <c r="E13" s="36"/>
      <c r="F13" s="36"/>
      <c r="G13" s="29"/>
      <c r="H13" s="29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E95</f>
        <v>0</v>
      </c>
      <c r="F15" s="52">
        <f t="shared" ref="F15:H15" si="7">F95</f>
        <v>743.12691355000004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4.5" customHeight="1" x14ac:dyDescent="0.25">
      <c r="D18" s="36"/>
      <c r="E18" s="36"/>
      <c r="F18" s="36"/>
      <c r="G18" s="29"/>
      <c r="H18" s="29"/>
      <c r="I18" s="70"/>
    </row>
    <row r="19" spans="1:12" x14ac:dyDescent="0.25">
      <c r="A19" s="16"/>
      <c r="B19" s="16" t="s">
        <v>156</v>
      </c>
      <c r="C19" s="16"/>
      <c r="D19" s="34"/>
      <c r="E19" s="34"/>
      <c r="F19" s="34"/>
      <c r="G19" s="35"/>
      <c r="H19" s="35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5.2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306.45</v>
      </c>
      <c r="E25" s="52">
        <f>E105</f>
        <v>150</v>
      </c>
      <c r="F25" s="52">
        <f t="shared" ref="F25:H25" si="13">F105</f>
        <v>156.44999999999999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E130</f>
        <v>0</v>
      </c>
      <c r="F26" s="52">
        <f>F130</f>
        <v>0</v>
      </c>
      <c r="G26" s="52">
        <f>G130</f>
        <v>0</v>
      </c>
      <c r="H26" s="52">
        <f>H130</f>
        <v>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306.45</v>
      </c>
      <c r="E28" s="55">
        <f t="shared" ref="E28:H28" si="15">SUBTOTAL(9,E25:E27)</f>
        <v>150</v>
      </c>
      <c r="F28" s="55">
        <f t="shared" si="15"/>
        <v>156.44999999999999</v>
      </c>
      <c r="G28" s="55">
        <f t="shared" si="15"/>
        <v>0</v>
      </c>
      <c r="H28" s="55">
        <f t="shared" si="15"/>
        <v>0</v>
      </c>
    </row>
    <row r="29" spans="1:12" ht="6" customHeight="1" x14ac:dyDescent="0.25">
      <c r="D29" s="36"/>
      <c r="E29" s="36"/>
      <c r="F29" s="36"/>
      <c r="G29" s="29"/>
      <c r="H29" s="29"/>
    </row>
    <row r="30" spans="1:12" x14ac:dyDescent="0.25">
      <c r="A30" s="16"/>
      <c r="B30" s="16" t="s">
        <v>7</v>
      </c>
      <c r="C30" s="16"/>
      <c r="D30" s="34"/>
      <c r="E30" s="34"/>
      <c r="F30" s="34"/>
      <c r="G30" s="35"/>
      <c r="H30" s="35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5.25" customHeight="1" x14ac:dyDescent="0.25">
      <c r="A44" s="3"/>
      <c r="B44" s="6"/>
      <c r="C44" s="3"/>
      <c r="D44" s="36"/>
      <c r="E44" s="36"/>
      <c r="F44" s="36"/>
      <c r="G44" s="29"/>
      <c r="H44" s="29"/>
    </row>
    <row r="45" spans="1:12" x14ac:dyDescent="0.25">
      <c r="A45" s="16"/>
      <c r="B45" s="16" t="s">
        <v>20</v>
      </c>
      <c r="C45" s="16"/>
      <c r="D45" s="34"/>
      <c r="E45" s="34"/>
      <c r="F45" s="34"/>
      <c r="G45" s="35"/>
      <c r="H45" s="35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287793.94999999995</v>
      </c>
      <c r="E46" s="52">
        <f>E145</f>
        <v>0</v>
      </c>
      <c r="F46" s="52">
        <f t="shared" ref="F46:H46" si="21">F145</f>
        <v>96364.65</v>
      </c>
      <c r="G46" s="52">
        <f t="shared" si="21"/>
        <v>96214.65</v>
      </c>
      <c r="H46" s="52">
        <f t="shared" si="21"/>
        <v>95214.65</v>
      </c>
    </row>
    <row r="47" spans="1:12" x14ac:dyDescent="0.25">
      <c r="A47" s="3"/>
      <c r="B47" s="3" t="s">
        <v>21</v>
      </c>
      <c r="C47" s="3"/>
      <c r="D47" s="52">
        <f t="shared" si="20"/>
        <v>10400</v>
      </c>
      <c r="E47" s="52">
        <f>E135</f>
        <v>250</v>
      </c>
      <c r="F47" s="52">
        <f t="shared" ref="F47:H47" si="22">F135</f>
        <v>2150</v>
      </c>
      <c r="G47" s="52">
        <f t="shared" si="22"/>
        <v>5650</v>
      </c>
      <c r="H47" s="52">
        <f t="shared" si="22"/>
        <v>2350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298193.94999999995</v>
      </c>
      <c r="E48" s="55">
        <f>SUBTOTAL(9,E46:E47)</f>
        <v>250</v>
      </c>
      <c r="F48" s="55">
        <f>SUBTOTAL(9,F46:F47)</f>
        <v>98514.65</v>
      </c>
      <c r="G48" s="55">
        <f>SUBTOTAL(9,G46:G47)</f>
        <v>101864.65</v>
      </c>
      <c r="H48" s="55">
        <f>SUBTOTAL(9,H46:H47)</f>
        <v>97564.65</v>
      </c>
    </row>
    <row r="49" spans="1:8" ht="5.25" customHeight="1" x14ac:dyDescent="0.25">
      <c r="A49" s="1"/>
      <c r="B49" s="1"/>
      <c r="C49" s="1"/>
      <c r="D49" s="52"/>
      <c r="E49" s="52"/>
      <c r="F49" s="52"/>
      <c r="G49" s="44"/>
      <c r="H49" s="44"/>
    </row>
    <row r="50" spans="1:8" ht="14.25" thickBot="1" x14ac:dyDescent="0.3">
      <c r="A50" s="56"/>
      <c r="B50" s="56" t="s">
        <v>160</v>
      </c>
      <c r="C50" s="56"/>
      <c r="D50" s="57">
        <f>SUBTOTAL(9,D5:D48)</f>
        <v>317053.90045971423</v>
      </c>
      <c r="E50" s="57">
        <f>SUBTOTAL(9,E5:E48)</f>
        <v>4575.4720000000007</v>
      </c>
      <c r="F50" s="57">
        <f>SUBTOTAL(9,F5:F48)</f>
        <v>103769.24420955</v>
      </c>
      <c r="G50" s="57">
        <f>SUBTOTAL(9,G5:G48)</f>
        <v>106406.933039728</v>
      </c>
      <c r="H50" s="57">
        <f>SUBTOTAL(9,H5:H48)</f>
        <v>102302.2512104363</v>
      </c>
    </row>
    <row r="51" spans="1:8" ht="6" customHeight="1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59"/>
      <c r="E56" s="59"/>
      <c r="F56" s="59"/>
      <c r="G56" s="59"/>
      <c r="H56" s="59"/>
    </row>
    <row r="57" spans="1:8" hidden="1" x14ac:dyDescent="0.25">
      <c r="B57" s="5" t="s">
        <v>2</v>
      </c>
      <c r="D57" s="36"/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D58" s="36"/>
      <c r="E58" s="52">
        <v>0</v>
      </c>
      <c r="F58" s="52"/>
      <c r="G58" s="44"/>
      <c r="H58" s="44"/>
    </row>
    <row r="59" spans="1:8" hidden="1" x14ac:dyDescent="0.25">
      <c r="A59" s="9"/>
      <c r="B59" s="9" t="s">
        <v>38</v>
      </c>
      <c r="C59" s="9"/>
      <c r="D59" s="37"/>
      <c r="E59" s="53">
        <v>0</v>
      </c>
      <c r="F59" s="52"/>
      <c r="G59" s="44"/>
      <c r="H59" s="44"/>
    </row>
    <row r="60" spans="1:8" hidden="1" x14ac:dyDescent="0.25">
      <c r="A60" s="9"/>
      <c r="B60" s="9" t="s">
        <v>39</v>
      </c>
      <c r="C60" s="9"/>
      <c r="D60" s="36"/>
      <c r="E60" s="52">
        <v>0</v>
      </c>
      <c r="F60" s="52"/>
      <c r="G60" s="44"/>
      <c r="H60" s="44"/>
    </row>
    <row r="61" spans="1:8" hidden="1" x14ac:dyDescent="0.25">
      <c r="A61" s="9"/>
      <c r="B61" s="9" t="s">
        <v>40</v>
      </c>
      <c r="C61" s="9"/>
      <c r="D61" s="36"/>
      <c r="E61" s="54">
        <v>0</v>
      </c>
      <c r="F61" s="52"/>
      <c r="G61" s="44"/>
      <c r="H61" s="44"/>
    </row>
    <row r="62" spans="1:8" hidden="1" x14ac:dyDescent="0.25">
      <c r="A62" s="9"/>
      <c r="B62" s="9"/>
      <c r="C62" s="9"/>
      <c r="D62" s="36"/>
      <c r="E62" s="52"/>
      <c r="F62" s="52"/>
      <c r="G62" s="44"/>
      <c r="H62" s="44"/>
    </row>
    <row r="63" spans="1:8" x14ac:dyDescent="0.25">
      <c r="B63" s="5" t="s">
        <v>23</v>
      </c>
      <c r="D63" s="36"/>
      <c r="E63" s="52">
        <f>E64*E65</f>
        <v>742.35</v>
      </c>
      <c r="F63" s="52">
        <f t="shared" ref="F63:H63" si="23">F64*F65</f>
        <v>774.27104999999995</v>
      </c>
      <c r="G63" s="52">
        <f t="shared" si="23"/>
        <v>807.5647051499999</v>
      </c>
      <c r="H63" s="52">
        <f t="shared" si="23"/>
        <v>842.28998747144988</v>
      </c>
    </row>
    <row r="64" spans="1:8" x14ac:dyDescent="0.25">
      <c r="A64" s="9"/>
      <c r="B64" s="9" t="s">
        <v>129</v>
      </c>
      <c r="C64" s="9" t="s">
        <v>128</v>
      </c>
      <c r="D64" s="36"/>
      <c r="E64" s="52">
        <v>42</v>
      </c>
      <c r="F64" s="52">
        <v>42</v>
      </c>
      <c r="G64" s="52">
        <v>42</v>
      </c>
      <c r="H64" s="52">
        <v>42</v>
      </c>
    </row>
    <row r="65" spans="1:12" x14ac:dyDescent="0.25">
      <c r="A65" s="9"/>
      <c r="B65" s="9" t="s">
        <v>41</v>
      </c>
      <c r="C65" s="9"/>
      <c r="D65" s="36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x14ac:dyDescent="0.25">
      <c r="D66" s="36"/>
      <c r="E66" s="52"/>
      <c r="F66" s="52"/>
      <c r="G66" s="44"/>
      <c r="H66" s="44"/>
    </row>
    <row r="67" spans="1:12" s="7" customFormat="1" x14ac:dyDescent="0.25">
      <c r="A67" s="5"/>
      <c r="B67" s="5" t="s">
        <v>191</v>
      </c>
      <c r="C67" s="5"/>
      <c r="D67" s="36"/>
      <c r="E67" s="52">
        <f>E68*E69</f>
        <v>3433.1220000000008</v>
      </c>
      <c r="F67" s="52">
        <f t="shared" ref="F67:H67" si="24">F68*F69</f>
        <v>3580.7462460000002</v>
      </c>
      <c r="G67" s="52">
        <f t="shared" si="24"/>
        <v>3734.7183345779999</v>
      </c>
      <c r="H67" s="52">
        <f t="shared" si="24"/>
        <v>3895.3112229648536</v>
      </c>
      <c r="I67" s="70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36"/>
      <c r="E68" s="52">
        <v>21</v>
      </c>
      <c r="F68" s="52">
        <v>21</v>
      </c>
      <c r="G68" s="52">
        <v>21</v>
      </c>
      <c r="H68" s="52">
        <v>21</v>
      </c>
      <c r="I68" s="70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36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>
      <c r="D70" s="36"/>
      <c r="E70" s="52"/>
      <c r="F70" s="52"/>
      <c r="G70" s="44"/>
      <c r="H70" s="44"/>
    </row>
    <row r="71" spans="1:12" s="7" customFormat="1" hidden="1" x14ac:dyDescent="0.25">
      <c r="A71" s="5"/>
      <c r="B71" s="5" t="s">
        <v>1</v>
      </c>
      <c r="C71" s="5"/>
      <c r="D71" s="36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36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36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36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36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>
      <c r="D76" s="36"/>
      <c r="E76" s="52"/>
      <c r="F76" s="52"/>
      <c r="G76" s="44"/>
      <c r="H76" s="44"/>
    </row>
    <row r="77" spans="1:12" s="7" customFormat="1" hidden="1" x14ac:dyDescent="0.25">
      <c r="A77" s="5"/>
      <c r="B77" s="5" t="s">
        <v>3</v>
      </c>
      <c r="C77" s="5"/>
      <c r="D77" s="36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36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36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>
      <c r="D80" s="36"/>
      <c r="E80" s="52"/>
      <c r="F80" s="52"/>
      <c r="G80" s="44"/>
      <c r="H80" s="44"/>
    </row>
    <row r="81" spans="1:12" s="7" customFormat="1" hidden="1" x14ac:dyDescent="0.25">
      <c r="A81" s="5"/>
      <c r="B81" s="5" t="s">
        <v>4</v>
      </c>
      <c r="C81" s="5"/>
      <c r="D81" s="36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36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36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>
      <c r="D84" s="36"/>
      <c r="E84" s="52"/>
      <c r="F84" s="52"/>
      <c r="G84" s="44"/>
      <c r="H84" s="44"/>
    </row>
    <row r="85" spans="1:12" s="7" customFormat="1" hidden="1" x14ac:dyDescent="0.25">
      <c r="A85" s="9"/>
      <c r="B85" s="9" t="s">
        <v>40</v>
      </c>
      <c r="C85" s="9"/>
      <c r="D85" s="36"/>
      <c r="E85" s="54"/>
      <c r="F85" s="52"/>
      <c r="G85" s="44"/>
      <c r="H85" s="44"/>
      <c r="I85" s="6"/>
      <c r="J85" s="6"/>
      <c r="K85" s="6"/>
      <c r="L85" s="6"/>
    </row>
    <row r="86" spans="1:12" hidden="1" x14ac:dyDescent="0.25">
      <c r="D86" s="36"/>
      <c r="E86" s="52"/>
      <c r="F86" s="52"/>
      <c r="G86" s="44"/>
      <c r="H86" s="44"/>
    </row>
    <row r="87" spans="1:12" hidden="1" x14ac:dyDescent="0.25">
      <c r="A87" s="58"/>
      <c r="B87" s="58" t="s">
        <v>10</v>
      </c>
      <c r="C87" s="58"/>
      <c r="D87" s="59"/>
      <c r="E87" s="60">
        <f>E88*E89+E91*E92</f>
        <v>0</v>
      </c>
      <c r="F87" s="60">
        <f t="shared" ref="F87:H87" si="25">F88*F89+F91*F92</f>
        <v>0</v>
      </c>
      <c r="G87" s="60">
        <f t="shared" si="25"/>
        <v>0</v>
      </c>
      <c r="H87" s="60">
        <f t="shared" si="25"/>
        <v>0</v>
      </c>
    </row>
    <row r="88" spans="1:12" s="7" customFormat="1" hidden="1" x14ac:dyDescent="0.25">
      <c r="A88" s="5"/>
      <c r="B88" s="9" t="s">
        <v>50</v>
      </c>
      <c r="C88" s="5"/>
      <c r="D88" s="36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36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>
      <c r="D90" s="36"/>
      <c r="E90" s="52"/>
      <c r="F90" s="52"/>
      <c r="G90" s="44"/>
      <c r="H90" s="44"/>
    </row>
    <row r="91" spans="1:12" s="7" customFormat="1" hidden="1" x14ac:dyDescent="0.25">
      <c r="A91" s="5"/>
      <c r="B91" s="9" t="s">
        <v>52</v>
      </c>
      <c r="C91" s="5"/>
      <c r="D91" s="36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36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>
      <c r="D93" s="36"/>
      <c r="E93" s="52"/>
      <c r="F93" s="52"/>
      <c r="G93" s="44"/>
      <c r="H93" s="44"/>
    </row>
    <row r="94" spans="1:12" hidden="1" x14ac:dyDescent="0.25">
      <c r="D94" s="36"/>
      <c r="E94" s="52"/>
      <c r="F94" s="52"/>
      <c r="G94" s="44"/>
      <c r="H94" s="44"/>
    </row>
    <row r="95" spans="1:12" x14ac:dyDescent="0.25">
      <c r="A95" s="58"/>
      <c r="B95" s="58" t="s">
        <v>194</v>
      </c>
      <c r="C95" s="58"/>
      <c r="D95" s="59"/>
      <c r="E95" s="60">
        <f>E96*E97</f>
        <v>0</v>
      </c>
      <c r="F95" s="60">
        <f t="shared" ref="F95:H95" si="26">F96*F97</f>
        <v>743.12691355000004</v>
      </c>
      <c r="G95" s="60">
        <f t="shared" si="26"/>
        <v>0</v>
      </c>
      <c r="H95" s="60">
        <f t="shared" si="26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36"/>
      <c r="E96" s="52"/>
      <c r="F96" s="52">
        <v>1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36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x14ac:dyDescent="0.25">
      <c r="D98" s="36"/>
      <c r="E98" s="52"/>
      <c r="F98" s="52"/>
      <c r="G98" s="44"/>
      <c r="H98" s="44"/>
    </row>
    <row r="99" spans="1:12" hidden="1" x14ac:dyDescent="0.25">
      <c r="A99" s="58"/>
      <c r="B99" s="58" t="s">
        <v>148</v>
      </c>
      <c r="C99" s="58"/>
      <c r="D99" s="59"/>
      <c r="E99" s="60">
        <f>E100*E101+E102*E103</f>
        <v>0</v>
      </c>
      <c r="F99" s="60">
        <f t="shared" ref="F99:H99" si="27">F100*F101+F102*F103</f>
        <v>0</v>
      </c>
      <c r="G99" s="60">
        <f t="shared" si="27"/>
        <v>0</v>
      </c>
      <c r="H99" s="60">
        <f t="shared" si="27"/>
        <v>0</v>
      </c>
    </row>
    <row r="100" spans="1:12" hidden="1" x14ac:dyDescent="0.25">
      <c r="B100" s="45" t="s">
        <v>149</v>
      </c>
      <c r="C100" s="5" t="s">
        <v>150</v>
      </c>
      <c r="D100" s="36"/>
      <c r="E100" s="52"/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D101" s="36"/>
      <c r="E101" s="52"/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D102" s="36"/>
      <c r="E102" s="52"/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D103" s="36"/>
      <c r="E103" s="52"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/>
      <c r="D104" s="36"/>
      <c r="E104" s="52"/>
      <c r="F104" s="52"/>
      <c r="G104" s="44"/>
      <c r="H104" s="44"/>
    </row>
    <row r="105" spans="1:12" x14ac:dyDescent="0.25">
      <c r="A105" s="58"/>
      <c r="B105" s="58" t="s">
        <v>24</v>
      </c>
      <c r="C105" s="58"/>
      <c r="D105" s="59"/>
      <c r="E105" s="60">
        <f>E106*E107</f>
        <v>150</v>
      </c>
      <c r="F105" s="60">
        <f t="shared" ref="F105:H105" si="29">F106*F107</f>
        <v>156.44999999999999</v>
      </c>
      <c r="G105" s="60">
        <f t="shared" si="29"/>
        <v>0</v>
      </c>
      <c r="H105" s="60">
        <f t="shared" si="29"/>
        <v>0</v>
      </c>
    </row>
    <row r="106" spans="1:12" s="7" customFormat="1" x14ac:dyDescent="0.25">
      <c r="A106" s="5"/>
      <c r="B106" s="45" t="s">
        <v>54</v>
      </c>
      <c r="C106" s="5"/>
      <c r="D106" s="36"/>
      <c r="E106" s="52">
        <v>25</v>
      </c>
      <c r="F106" s="52">
        <v>25</v>
      </c>
      <c r="G106" s="52"/>
      <c r="H106" s="52"/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36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x14ac:dyDescent="0.25">
      <c r="D108" s="36"/>
      <c r="E108" s="52"/>
      <c r="F108" s="52"/>
      <c r="G108" s="44"/>
      <c r="H108" s="44"/>
    </row>
    <row r="109" spans="1:12" hidden="1" x14ac:dyDescent="0.25">
      <c r="A109" s="58"/>
      <c r="B109" s="58" t="s">
        <v>7</v>
      </c>
      <c r="C109" s="58"/>
      <c r="D109" s="59"/>
      <c r="E109" s="59"/>
      <c r="F109" s="59"/>
      <c r="G109" s="59"/>
      <c r="H109" s="59"/>
    </row>
    <row r="110" spans="1:12" s="7" customFormat="1" hidden="1" x14ac:dyDescent="0.25">
      <c r="A110" s="5"/>
      <c r="B110" s="4" t="s">
        <v>58</v>
      </c>
      <c r="C110" s="5"/>
      <c r="D110" s="36"/>
      <c r="E110" s="36"/>
      <c r="F110" s="36"/>
      <c r="G110" s="29"/>
      <c r="H110" s="29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48"/>
      <c r="E111" s="48"/>
      <c r="F111" s="48"/>
      <c r="G111" s="49"/>
      <c r="H111" s="49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48"/>
      <c r="E112" s="48"/>
      <c r="F112" s="48"/>
      <c r="G112" s="49"/>
      <c r="H112" s="49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48"/>
      <c r="E113" s="48"/>
      <c r="F113" s="48"/>
      <c r="G113" s="49"/>
      <c r="H113" s="49"/>
      <c r="I113" s="50"/>
      <c r="J113" s="50"/>
      <c r="K113" s="50"/>
      <c r="L113" s="50"/>
    </row>
    <row r="114" spans="1:12" hidden="1" x14ac:dyDescent="0.25">
      <c r="D114" s="36"/>
      <c r="E114" s="36"/>
      <c r="F114" s="36"/>
      <c r="G114" s="29"/>
      <c r="H114" s="29"/>
    </row>
    <row r="115" spans="1:12" hidden="1" x14ac:dyDescent="0.25">
      <c r="A115" s="58"/>
      <c r="B115" s="58" t="s">
        <v>26</v>
      </c>
      <c r="C115" s="58"/>
      <c r="D115" s="59"/>
      <c r="E115" s="59"/>
      <c r="F115" s="59"/>
      <c r="G115" s="59"/>
      <c r="H115" s="59"/>
    </row>
    <row r="116" spans="1:12" s="5" customFormat="1" hidden="1" x14ac:dyDescent="0.25">
      <c r="B116" s="63" t="s">
        <v>61</v>
      </c>
      <c r="D116" s="36"/>
      <c r="E116" s="36"/>
      <c r="F116" s="36"/>
      <c r="G116" s="29"/>
      <c r="H116" s="29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36"/>
      <c r="E117" s="36"/>
      <c r="F117" s="36"/>
      <c r="G117" s="29"/>
      <c r="H117" s="29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36"/>
      <c r="E118" s="36"/>
      <c r="F118" s="36"/>
      <c r="G118" s="29"/>
      <c r="H118" s="29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36"/>
      <c r="E119" s="36"/>
      <c r="F119" s="36"/>
      <c r="G119" s="29"/>
      <c r="H119" s="29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hidden="1" x14ac:dyDescent="0.25">
      <c r="D125" s="36"/>
      <c r="E125" s="36"/>
      <c r="F125" s="36"/>
      <c r="G125" s="29"/>
      <c r="H125" s="29"/>
    </row>
    <row r="126" spans="1:12" hidden="1" x14ac:dyDescent="0.25">
      <c r="A126" s="58"/>
      <c r="B126" s="58" t="s">
        <v>25</v>
      </c>
      <c r="C126" s="58"/>
      <c r="D126" s="59"/>
      <c r="E126" s="59"/>
      <c r="F126" s="59"/>
      <c r="G126" s="59"/>
      <c r="H126" s="59"/>
    </row>
    <row r="127" spans="1:12" s="5" customFormat="1" hidden="1" x14ac:dyDescent="0.25">
      <c r="B127" s="47" t="s">
        <v>64</v>
      </c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s="5" customFormat="1" hidden="1" x14ac:dyDescent="0.25">
      <c r="B130" s="5" t="s">
        <v>173</v>
      </c>
      <c r="D130" s="36"/>
      <c r="E130" s="52">
        <f>E131+E132*E133</f>
        <v>0</v>
      </c>
      <c r="F130" s="52">
        <f t="shared" ref="F130:H130" si="30">F131+F132*F133</f>
        <v>0</v>
      </c>
      <c r="G130" s="52">
        <f t="shared" si="30"/>
        <v>0</v>
      </c>
      <c r="H130" s="52">
        <f t="shared" si="30"/>
        <v>0</v>
      </c>
    </row>
    <row r="131" spans="1:12" hidden="1" x14ac:dyDescent="0.25">
      <c r="B131" s="47" t="s">
        <v>172</v>
      </c>
      <c r="D131" s="36"/>
      <c r="E131" s="52"/>
      <c r="F131" s="52">
        <v>0</v>
      </c>
      <c r="G131" s="44"/>
      <c r="H131" s="44"/>
    </row>
    <row r="132" spans="1:12" hidden="1" x14ac:dyDescent="0.25">
      <c r="B132" s="47" t="s">
        <v>178</v>
      </c>
      <c r="D132" s="36"/>
      <c r="E132" s="68">
        <f>'Rates and GI'!$D$59</f>
        <v>0.02</v>
      </c>
      <c r="F132" s="68">
        <f>'Rates and GI'!$D$59</f>
        <v>0.02</v>
      </c>
      <c r="G132" s="68">
        <f>'Rates and GI'!$D$59</f>
        <v>0.02</v>
      </c>
      <c r="H132" s="68">
        <f>'Rates and GI'!$D$59</f>
        <v>0.02</v>
      </c>
    </row>
    <row r="133" spans="1:12" hidden="1" x14ac:dyDescent="0.25">
      <c r="B133" s="47" t="s">
        <v>179</v>
      </c>
      <c r="D133" s="36"/>
      <c r="E133" s="52">
        <v>0</v>
      </c>
      <c r="F133" s="52">
        <v>0</v>
      </c>
      <c r="G133" s="52"/>
      <c r="H133" s="52"/>
    </row>
    <row r="134" spans="1:12" s="5" customFormat="1" hidden="1" x14ac:dyDescent="0.25">
      <c r="B134" s="47"/>
      <c r="D134" s="36"/>
      <c r="E134" s="52"/>
      <c r="F134" s="52"/>
      <c r="G134" s="44"/>
      <c r="H134" s="44"/>
      <c r="I134" s="6"/>
      <c r="J134" s="6"/>
      <c r="K134" s="6"/>
      <c r="L134" s="6"/>
    </row>
    <row r="135" spans="1:12" x14ac:dyDescent="0.25">
      <c r="A135" s="58"/>
      <c r="B135" s="58" t="s">
        <v>21</v>
      </c>
      <c r="C135" s="58"/>
      <c r="D135" s="59"/>
      <c r="E135" s="60">
        <f>E136*E137+E138*E139++E140*E141+E142*E143</f>
        <v>250</v>
      </c>
      <c r="F135" s="60">
        <f t="shared" ref="F135:H135" si="31">F136*F137+F138*F139++F140*F141+F142*F143</f>
        <v>2150</v>
      </c>
      <c r="G135" s="60">
        <f t="shared" si="31"/>
        <v>5650</v>
      </c>
      <c r="H135" s="60">
        <f t="shared" si="31"/>
        <v>2350</v>
      </c>
    </row>
    <row r="136" spans="1:12" x14ac:dyDescent="0.25">
      <c r="B136" s="47" t="s">
        <v>169</v>
      </c>
      <c r="D136" s="36"/>
      <c r="E136" s="52"/>
      <c r="F136" s="52"/>
      <c r="G136" s="52">
        <v>1</v>
      </c>
      <c r="H136" s="52"/>
    </row>
    <row r="137" spans="1:12" x14ac:dyDescent="0.25">
      <c r="B137" s="47" t="s">
        <v>170</v>
      </c>
      <c r="D137" s="36"/>
      <c r="E137" s="52">
        <f>'Rates and GI'!$D$69</f>
        <v>5000</v>
      </c>
      <c r="F137" s="52">
        <f>'Rates and GI'!$D$69</f>
        <v>5000</v>
      </c>
      <c r="G137" s="52">
        <f>'Rates and GI'!$D$69</f>
        <v>5000</v>
      </c>
      <c r="H137" s="52">
        <f>'Rates and GI'!$D$69</f>
        <v>5000</v>
      </c>
    </row>
    <row r="138" spans="1:12" x14ac:dyDescent="0.25">
      <c r="B138" s="47" t="s">
        <v>167</v>
      </c>
      <c r="D138" s="36"/>
      <c r="E138" s="52"/>
      <c r="F138" s="52">
        <v>1</v>
      </c>
      <c r="G138" s="52">
        <v>0</v>
      </c>
      <c r="H138" s="52">
        <v>1</v>
      </c>
    </row>
    <row r="139" spans="1:12" x14ac:dyDescent="0.25">
      <c r="B139" s="47" t="s">
        <v>168</v>
      </c>
      <c r="D139" s="36"/>
      <c r="E139" s="52">
        <f>'Rates and GI'!$D$70</f>
        <v>1500</v>
      </c>
      <c r="F139" s="52">
        <f>'Rates and GI'!$D$70</f>
        <v>1500</v>
      </c>
      <c r="G139" s="52">
        <f>'Rates and GI'!$D$70</f>
        <v>1500</v>
      </c>
      <c r="H139" s="52">
        <f>'Rates and GI'!$D$70</f>
        <v>1500</v>
      </c>
    </row>
    <row r="140" spans="1:12" ht="27" x14ac:dyDescent="0.25">
      <c r="B140" s="71" t="s">
        <v>183</v>
      </c>
      <c r="D140" s="36"/>
      <c r="E140" s="52">
        <v>0</v>
      </c>
      <c r="F140" s="52">
        <v>2</v>
      </c>
      <c r="G140" s="52">
        <v>2</v>
      </c>
      <c r="H140" s="52">
        <v>3</v>
      </c>
    </row>
    <row r="141" spans="1:12" ht="27" x14ac:dyDescent="0.25">
      <c r="B141" s="71" t="s">
        <v>182</v>
      </c>
      <c r="D141" s="36"/>
      <c r="E141" s="52">
        <f>'Rates and GI'!$D$71</f>
        <v>200</v>
      </c>
      <c r="F141" s="52">
        <f>'Rates and GI'!$D$71</f>
        <v>200</v>
      </c>
      <c r="G141" s="52">
        <f>'Rates and GI'!$D$71</f>
        <v>200</v>
      </c>
      <c r="H141" s="52">
        <f>'Rates and GI'!$D$71</f>
        <v>200</v>
      </c>
    </row>
    <row r="142" spans="1:12" s="5" customFormat="1" x14ac:dyDescent="0.25">
      <c r="B142" s="47" t="s">
        <v>354</v>
      </c>
      <c r="D142" s="36"/>
      <c r="E142" s="52">
        <v>5</v>
      </c>
      <c r="F142" s="52">
        <v>5</v>
      </c>
      <c r="G142" s="44">
        <v>5</v>
      </c>
      <c r="H142" s="44">
        <v>5</v>
      </c>
      <c r="I142" s="6"/>
      <c r="J142" s="6"/>
      <c r="K142" s="6"/>
      <c r="L142" s="6"/>
    </row>
    <row r="143" spans="1:12" s="5" customFormat="1" x14ac:dyDescent="0.25">
      <c r="B143" s="47" t="s">
        <v>349</v>
      </c>
      <c r="D143" s="36"/>
      <c r="E143" s="52">
        <f>'Rates and GI'!$D$72</f>
        <v>50</v>
      </c>
      <c r="F143" s="52">
        <f>'Rates and GI'!$D$72</f>
        <v>50</v>
      </c>
      <c r="G143" s="52">
        <f>'Rates and GI'!$D$72</f>
        <v>50</v>
      </c>
      <c r="H143" s="52">
        <f>'Rates and GI'!$D$72</f>
        <v>50</v>
      </c>
      <c r="I143" s="6"/>
      <c r="J143" s="6"/>
      <c r="K143" s="6"/>
      <c r="L143" s="6"/>
    </row>
    <row r="144" spans="1:12" x14ac:dyDescent="0.25">
      <c r="D144" s="36"/>
      <c r="E144" s="36"/>
      <c r="F144" s="36"/>
      <c r="G144" s="29"/>
      <c r="H144" s="29"/>
    </row>
    <row r="145" spans="1:8" x14ac:dyDescent="0.25">
      <c r="A145" s="58"/>
      <c r="B145" s="58" t="s">
        <v>218</v>
      </c>
      <c r="C145" s="58"/>
      <c r="D145" s="59"/>
      <c r="E145" s="60">
        <f>E146+E149+E152+E161+E166</f>
        <v>0</v>
      </c>
      <c r="F145" s="60">
        <f t="shared" ref="F145:H145" si="32">F146+F149+F152+F161+F166</f>
        <v>96364.65</v>
      </c>
      <c r="G145" s="60">
        <f t="shared" si="32"/>
        <v>96214.65</v>
      </c>
      <c r="H145" s="60">
        <f t="shared" si="32"/>
        <v>95214.65</v>
      </c>
    </row>
    <row r="146" spans="1:8" s="5" customFormat="1" x14ac:dyDescent="0.25">
      <c r="B146" s="5" t="s">
        <v>197</v>
      </c>
      <c r="D146" s="36"/>
      <c r="E146" s="52">
        <f>E147+E150*E151</f>
        <v>0</v>
      </c>
      <c r="F146" s="52">
        <f>F147+F150*F151</f>
        <v>11207.325000000001</v>
      </c>
      <c r="G146" s="52">
        <f>G147+G150*G151</f>
        <v>11207.325000000001</v>
      </c>
      <c r="H146" s="52">
        <f t="shared" ref="H146" si="33">H147+H150*H151</f>
        <v>11207.325000000001</v>
      </c>
    </row>
    <row r="147" spans="1:8" x14ac:dyDescent="0.25">
      <c r="B147" s="47" t="s">
        <v>208</v>
      </c>
      <c r="D147" s="36"/>
      <c r="E147" s="36"/>
      <c r="F147" s="52">
        <f>('Rates and GI'!$D$56+'Rates and GI'!$D$60)*10</f>
        <v>10000</v>
      </c>
      <c r="G147" s="52">
        <f>('Rates and GI'!$D$56+'Rates and GI'!$D$60)*10</f>
        <v>10000</v>
      </c>
      <c r="H147" s="52">
        <f>('Rates and GI'!$D$56+'Rates and GI'!$D$60)*10</f>
        <v>10000</v>
      </c>
    </row>
    <row r="148" spans="1:8" x14ac:dyDescent="0.25">
      <c r="B148" s="47" t="s">
        <v>211</v>
      </c>
      <c r="D148" s="36"/>
      <c r="E148" s="36"/>
      <c r="F148" s="52">
        <f>'Rates and GI'!$D$62</f>
        <v>300</v>
      </c>
      <c r="G148" s="52">
        <f>'Rates and GI'!$D$62</f>
        <v>300</v>
      </c>
      <c r="H148" s="52"/>
    </row>
    <row r="149" spans="1:8" x14ac:dyDescent="0.25">
      <c r="B149" s="5" t="s">
        <v>198</v>
      </c>
      <c r="D149" s="36"/>
      <c r="E149" s="52">
        <f>E150*E151</f>
        <v>0</v>
      </c>
      <c r="F149" s="52">
        <f t="shared" ref="F149:H149" si="34">F150*F151</f>
        <v>1207.325</v>
      </c>
      <c r="G149" s="52">
        <f t="shared" si="34"/>
        <v>1207.325</v>
      </c>
      <c r="H149" s="52">
        <f t="shared" si="34"/>
        <v>1207.325</v>
      </c>
    </row>
    <row r="150" spans="1:8" x14ac:dyDescent="0.25">
      <c r="B150" s="47" t="s">
        <v>186</v>
      </c>
      <c r="D150" s="36"/>
      <c r="E150" s="36"/>
      <c r="F150" s="52">
        <f>'Rates and GI'!$D$65</f>
        <v>24.1465</v>
      </c>
      <c r="G150" s="52">
        <f>'Rates and GI'!$D$65</f>
        <v>24.1465</v>
      </c>
      <c r="H150" s="52">
        <f>'Rates and GI'!$D$65</f>
        <v>24.1465</v>
      </c>
    </row>
    <row r="151" spans="1:8" x14ac:dyDescent="0.25">
      <c r="B151" s="47" t="s">
        <v>185</v>
      </c>
      <c r="D151" s="36"/>
      <c r="E151" s="36"/>
      <c r="F151" s="52">
        <v>50</v>
      </c>
      <c r="G151" s="44">
        <v>50</v>
      </c>
      <c r="H151" s="44">
        <v>50</v>
      </c>
    </row>
    <row r="152" spans="1:8" x14ac:dyDescent="0.25">
      <c r="B152" s="5" t="s">
        <v>199</v>
      </c>
      <c r="E152" s="7">
        <f>E153+E157</f>
        <v>0</v>
      </c>
      <c r="F152" s="7">
        <f t="shared" ref="F152:H152" si="35">F153+F157</f>
        <v>81000</v>
      </c>
      <c r="G152" s="7">
        <f t="shared" si="35"/>
        <v>81000</v>
      </c>
      <c r="H152" s="7">
        <f t="shared" si="35"/>
        <v>81000</v>
      </c>
    </row>
    <row r="153" spans="1:8" x14ac:dyDescent="0.25">
      <c r="B153" s="47" t="s">
        <v>213</v>
      </c>
      <c r="E153" s="7">
        <f>E154*E155</f>
        <v>0</v>
      </c>
      <c r="F153" s="7">
        <f t="shared" ref="F153:H153" si="36">F154*F155</f>
        <v>75000</v>
      </c>
      <c r="G153" s="7">
        <f t="shared" si="36"/>
        <v>75000</v>
      </c>
      <c r="H153" s="7">
        <f t="shared" si="36"/>
        <v>75000</v>
      </c>
    </row>
    <row r="154" spans="1:8" x14ac:dyDescent="0.25">
      <c r="B154" s="47" t="s">
        <v>200</v>
      </c>
      <c r="C154" s="5" t="s">
        <v>201</v>
      </c>
      <c r="E154" s="7">
        <v>0</v>
      </c>
      <c r="F154" s="7">
        <v>500</v>
      </c>
      <c r="G154" s="8">
        <v>500</v>
      </c>
      <c r="H154" s="8">
        <v>500</v>
      </c>
    </row>
    <row r="155" spans="1:8" x14ac:dyDescent="0.25">
      <c r="B155" s="47" t="s">
        <v>202</v>
      </c>
      <c r="E155" s="7">
        <f>'Rates and GI'!$D$63</f>
        <v>150</v>
      </c>
      <c r="F155" s="7">
        <f>'Rates and GI'!$D$63</f>
        <v>150</v>
      </c>
      <c r="G155" s="7">
        <f>'Rates and GI'!$D$63</f>
        <v>150</v>
      </c>
      <c r="H155" s="7">
        <f>'Rates and GI'!$D$63</f>
        <v>150</v>
      </c>
    </row>
    <row r="156" spans="1:8" ht="3.75" customHeight="1" x14ac:dyDescent="0.25">
      <c r="B156" s="6"/>
    </row>
    <row r="157" spans="1:8" x14ac:dyDescent="0.25">
      <c r="B157" s="47" t="s">
        <v>214</v>
      </c>
      <c r="E157" s="7">
        <f>E158*E159</f>
        <v>0</v>
      </c>
      <c r="F157" s="7">
        <f t="shared" ref="F157" si="37">F158*F159</f>
        <v>6000</v>
      </c>
      <c r="G157" s="7">
        <f t="shared" ref="G157" si="38">G158*G159</f>
        <v>6000</v>
      </c>
      <c r="H157" s="7">
        <f t="shared" ref="H157" si="39">H158*H159</f>
        <v>6000</v>
      </c>
    </row>
    <row r="158" spans="1:8" x14ac:dyDescent="0.25">
      <c r="B158" s="47" t="s">
        <v>200</v>
      </c>
      <c r="C158" s="5" t="s">
        <v>201</v>
      </c>
      <c r="E158" s="7">
        <v>0</v>
      </c>
      <c r="F158" s="7">
        <v>300</v>
      </c>
      <c r="G158" s="8">
        <v>300</v>
      </c>
      <c r="H158" s="8">
        <v>300</v>
      </c>
    </row>
    <row r="159" spans="1:8" x14ac:dyDescent="0.25">
      <c r="B159" s="47" t="s">
        <v>202</v>
      </c>
      <c r="E159" s="7">
        <f>'Rates and GI'!$D$64</f>
        <v>20</v>
      </c>
      <c r="F159" s="7">
        <f>'Rates and GI'!$D$64</f>
        <v>20</v>
      </c>
      <c r="G159" s="7">
        <f>'Rates and GI'!$D$64</f>
        <v>20</v>
      </c>
      <c r="H159" s="7">
        <f>'Rates and GI'!$D$64</f>
        <v>20</v>
      </c>
    </row>
    <row r="160" spans="1:8" x14ac:dyDescent="0.25">
      <c r="B160" s="6"/>
    </row>
    <row r="161" spans="1:8" x14ac:dyDescent="0.25">
      <c r="B161" s="5" t="s">
        <v>203</v>
      </c>
      <c r="E161" s="7">
        <f>E162*E163*E164</f>
        <v>0</v>
      </c>
      <c r="F161" s="7">
        <f t="shared" ref="F161:H161" si="40">F162*F163*F164</f>
        <v>1800</v>
      </c>
      <c r="G161" s="7">
        <f t="shared" si="40"/>
        <v>1800</v>
      </c>
      <c r="H161" s="7">
        <f t="shared" si="40"/>
        <v>1800</v>
      </c>
    </row>
    <row r="162" spans="1:8" x14ac:dyDescent="0.25">
      <c r="B162" s="47" t="s">
        <v>215</v>
      </c>
      <c r="F162" s="7">
        <f>'Rates and GI'!$D$66</f>
        <v>300</v>
      </c>
      <c r="G162" s="7">
        <f>'Rates and GI'!$D$66</f>
        <v>300</v>
      </c>
      <c r="H162" s="7">
        <f>'Rates and GI'!$D$66</f>
        <v>300</v>
      </c>
    </row>
    <row r="163" spans="1:8" x14ac:dyDescent="0.25">
      <c r="B163" s="47" t="s">
        <v>216</v>
      </c>
      <c r="F163" s="7">
        <v>3</v>
      </c>
      <c r="G163" s="7">
        <v>3</v>
      </c>
      <c r="H163" s="7">
        <v>3</v>
      </c>
    </row>
    <row r="164" spans="1:8" x14ac:dyDescent="0.25">
      <c r="B164" s="47" t="s">
        <v>217</v>
      </c>
      <c r="F164" s="7">
        <v>2</v>
      </c>
      <c r="G164" s="7">
        <v>2</v>
      </c>
      <c r="H164" s="7">
        <v>2</v>
      </c>
    </row>
    <row r="165" spans="1:8" ht="7.5" customHeight="1" x14ac:dyDescent="0.25"/>
    <row r="166" spans="1:8" x14ac:dyDescent="0.25">
      <c r="B166" s="5" t="s">
        <v>196</v>
      </c>
      <c r="E166" s="7">
        <f>E167+E168*E169</f>
        <v>0</v>
      </c>
      <c r="F166" s="7">
        <f>F167+F168*F169</f>
        <v>1150</v>
      </c>
      <c r="G166" s="7">
        <f>G167+G168*G169</f>
        <v>1000</v>
      </c>
      <c r="H166" s="7">
        <f>H167+H168*H169</f>
        <v>0</v>
      </c>
    </row>
    <row r="167" spans="1:8" x14ac:dyDescent="0.25">
      <c r="B167" s="47" t="s">
        <v>172</v>
      </c>
      <c r="F167" s="7">
        <f>'Rates and GI'!D57</f>
        <v>150</v>
      </c>
    </row>
    <row r="168" spans="1:8" x14ac:dyDescent="0.25">
      <c r="B168" s="47" t="s">
        <v>178</v>
      </c>
      <c r="F168" s="74">
        <f>'Rates and GI'!$D$58</f>
        <v>0.05</v>
      </c>
      <c r="G168" s="74">
        <f>'Rates and GI'!$D$58</f>
        <v>0.05</v>
      </c>
      <c r="H168" s="74">
        <f>'Rates and GI'!$D$58</f>
        <v>0.05</v>
      </c>
    </row>
    <row r="169" spans="1:8" x14ac:dyDescent="0.25">
      <c r="B169" s="47" t="s">
        <v>179</v>
      </c>
      <c r="F169" s="7">
        <v>20000</v>
      </c>
      <c r="G169" s="8">
        <v>20000</v>
      </c>
    </row>
    <row r="170" spans="1:8" x14ac:dyDescent="0.25">
      <c r="A170" s="58"/>
      <c r="B170" s="58"/>
      <c r="C170" s="58"/>
      <c r="D170" s="59"/>
      <c r="E170" s="60"/>
      <c r="F170" s="60"/>
      <c r="G170" s="60"/>
      <c r="H170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71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7" customWidth="1"/>
    <col min="5" max="5" width="12" style="7" bestFit="1" customWidth="1"/>
    <col min="6" max="6" width="10.28515625" style="7" bestFit="1" customWidth="1"/>
    <col min="7" max="7" width="10.28515625" style="8" bestFit="1" customWidth="1"/>
    <col min="8" max="8" width="10.42578125" style="8" bestFit="1" customWidth="1"/>
    <col min="9" max="16384" width="9.140625" style="6"/>
  </cols>
  <sheetData>
    <row r="1" spans="1:12" s="140" customFormat="1" ht="34.5" x14ac:dyDescent="0.3">
      <c r="A1" s="227">
        <v>43</v>
      </c>
      <c r="B1" s="228" t="s">
        <v>426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1532.5815749999999</v>
      </c>
      <c r="E5" s="52">
        <f>E63</f>
        <v>371.17500000000001</v>
      </c>
      <c r="F5" s="52">
        <f t="shared" ref="F5:H5" si="1">F63</f>
        <v>1161.406575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7013.8682460000009</v>
      </c>
      <c r="E6" s="52">
        <f>E67</f>
        <v>3433.1220000000008</v>
      </c>
      <c r="F6" s="52">
        <f t="shared" ref="F6:H6" si="2">F67</f>
        <v>3580.7462460000002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8546.4498210000002</v>
      </c>
      <c r="E7" s="55">
        <f>SUBTOTAL(9,E5:E6)</f>
        <v>3804.2970000000009</v>
      </c>
      <c r="F7" s="55">
        <f>SUBTOTAL(9,F5:F6)</f>
        <v>4742.1528209999997</v>
      </c>
      <c r="G7" s="55">
        <f>SUBTOTAL(9,G5:G6)</f>
        <v>0</v>
      </c>
      <c r="H7" s="55">
        <f>SUBTOTAL(9,H5:H6)</f>
        <v>0</v>
      </c>
      <c r="I7" s="70"/>
    </row>
    <row r="8" spans="1:12" ht="4.5" customHeight="1" x14ac:dyDescent="0.25">
      <c r="D8" s="36"/>
      <c r="E8" s="36"/>
      <c r="F8" s="36"/>
      <c r="G8" s="29"/>
      <c r="H8" s="29"/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E95</f>
        <v>0</v>
      </c>
      <c r="F15" s="52">
        <f t="shared" ref="F15:H15" si="7">F95</f>
        <v>743.12691355000004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D18" s="36"/>
      <c r="E18" s="36"/>
      <c r="F18" s="36"/>
      <c r="G18" s="29"/>
      <c r="H18" s="29"/>
      <c r="I18" s="70"/>
    </row>
    <row r="19" spans="1:12" x14ac:dyDescent="0.25">
      <c r="A19" s="16"/>
      <c r="B19" s="16" t="s">
        <v>156</v>
      </c>
      <c r="C19" s="16"/>
      <c r="D19" s="34"/>
      <c r="E19" s="34"/>
      <c r="F19" s="34"/>
      <c r="G19" s="35"/>
      <c r="H19" s="35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38887.375</v>
      </c>
      <c r="E20" s="52">
        <f>E99</f>
        <v>0</v>
      </c>
      <c r="F20" s="52">
        <f t="shared" ref="F20:H20" si="10">F99</f>
        <v>13435.375</v>
      </c>
      <c r="G20" s="52">
        <f t="shared" si="10"/>
        <v>12726</v>
      </c>
      <c r="H20" s="52">
        <f t="shared" si="10"/>
        <v>12726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38887.375</v>
      </c>
      <c r="E22" s="55">
        <f t="shared" ref="E22:H22" si="12">SUBTOTAL(9,E20:E21)</f>
        <v>0</v>
      </c>
      <c r="F22" s="55">
        <f t="shared" si="12"/>
        <v>13435.375</v>
      </c>
      <c r="G22" s="55">
        <f t="shared" si="12"/>
        <v>12726</v>
      </c>
      <c r="H22" s="55">
        <f t="shared" si="12"/>
        <v>12726</v>
      </c>
    </row>
    <row r="23" spans="1:12" ht="5.25" customHeight="1" x14ac:dyDescent="0.25">
      <c r="D23" s="52"/>
      <c r="E23" s="52"/>
      <c r="F23" s="52"/>
      <c r="G23" s="44"/>
      <c r="H23" s="44"/>
    </row>
    <row r="24" spans="1:12" x14ac:dyDescent="0.25">
      <c r="A24" s="16"/>
      <c r="B24" s="16" t="s">
        <v>74</v>
      </c>
      <c r="C24" s="16"/>
      <c r="D24" s="34"/>
      <c r="E24" s="34"/>
      <c r="F24" s="34"/>
      <c r="G24" s="35"/>
      <c r="H24" s="35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306.45</v>
      </c>
      <c r="E25" s="52">
        <f>E107</f>
        <v>150</v>
      </c>
      <c r="F25" s="52">
        <f t="shared" ref="F25:H25" si="13">F107</f>
        <v>156.44999999999999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30500</v>
      </c>
      <c r="E26" s="52">
        <f>E132</f>
        <v>0</v>
      </c>
      <c r="F26" s="52">
        <f>F132</f>
        <v>10500</v>
      </c>
      <c r="G26" s="52">
        <f>G132</f>
        <v>10000</v>
      </c>
      <c r="H26" s="52">
        <f>H132</f>
        <v>10000</v>
      </c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30806.45</v>
      </c>
      <c r="E28" s="55">
        <f t="shared" ref="E28:H28" si="15">SUBTOTAL(9,E25:E27)</f>
        <v>150</v>
      </c>
      <c r="F28" s="55">
        <f t="shared" si="15"/>
        <v>10656.45</v>
      </c>
      <c r="G28" s="55">
        <f t="shared" si="15"/>
        <v>10000</v>
      </c>
      <c r="H28" s="55">
        <f t="shared" si="15"/>
        <v>10000</v>
      </c>
    </row>
    <row r="29" spans="1:12" ht="5.25" customHeight="1" x14ac:dyDescent="0.25">
      <c r="D29" s="36"/>
      <c r="E29" s="36"/>
      <c r="F29" s="36"/>
      <c r="G29" s="29"/>
      <c r="H29" s="29"/>
    </row>
    <row r="30" spans="1:12" x14ac:dyDescent="0.25">
      <c r="A30" s="16"/>
      <c r="B30" s="16" t="s">
        <v>7</v>
      </c>
      <c r="C30" s="16"/>
      <c r="D30" s="34"/>
      <c r="E30" s="34"/>
      <c r="F30" s="34"/>
      <c r="G30" s="35"/>
      <c r="H30" s="35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4.5" customHeight="1" x14ac:dyDescent="0.25">
      <c r="D36" s="36"/>
      <c r="E36" s="36"/>
      <c r="F36" s="36"/>
      <c r="G36" s="29"/>
      <c r="H36" s="29"/>
    </row>
    <row r="37" spans="1:12" x14ac:dyDescent="0.25">
      <c r="A37" s="16"/>
      <c r="B37" s="16" t="s">
        <v>16</v>
      </c>
      <c r="C37" s="16"/>
      <c r="D37" s="34"/>
      <c r="E37" s="34"/>
      <c r="F37" s="34"/>
      <c r="G37" s="35"/>
      <c r="H37" s="35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6.75" customHeight="1" x14ac:dyDescent="0.25">
      <c r="A44" s="3"/>
      <c r="B44" s="6"/>
      <c r="C44" s="3"/>
      <c r="D44" s="36"/>
      <c r="E44" s="36"/>
      <c r="F44" s="36"/>
      <c r="G44" s="29"/>
      <c r="H44" s="29"/>
    </row>
    <row r="45" spans="1:12" x14ac:dyDescent="0.25">
      <c r="A45" s="16"/>
      <c r="B45" s="16" t="s">
        <v>20</v>
      </c>
      <c r="C45" s="16"/>
      <c r="D45" s="34"/>
      <c r="E45" s="34"/>
      <c r="F45" s="34"/>
      <c r="G45" s="35"/>
      <c r="H45" s="35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0</v>
      </c>
      <c r="E46" s="52">
        <f>E147</f>
        <v>0</v>
      </c>
      <c r="F46" s="52">
        <f t="shared" ref="F46:H46" si="21">F147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si="20"/>
        <v>500</v>
      </c>
      <c r="E47" s="52">
        <f>E137</f>
        <v>0</v>
      </c>
      <c r="F47" s="52">
        <f t="shared" ref="F47:H47" si="22">F137</f>
        <v>500</v>
      </c>
      <c r="G47" s="52">
        <f t="shared" si="22"/>
        <v>0</v>
      </c>
      <c r="H47" s="52">
        <f t="shared" si="22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500</v>
      </c>
      <c r="E48" s="55">
        <f>SUBTOTAL(9,E46:E47)</f>
        <v>0</v>
      </c>
      <c r="F48" s="55">
        <f>SUBTOTAL(9,F46:F47)</f>
        <v>500</v>
      </c>
      <c r="G48" s="55">
        <f>SUBTOTAL(9,G46:G47)</f>
        <v>0</v>
      </c>
      <c r="H48" s="55">
        <f>SUBTOTAL(9,H46:H47)</f>
        <v>0</v>
      </c>
    </row>
    <row r="49" spans="1:9" ht="5.25" customHeight="1" x14ac:dyDescent="0.25">
      <c r="A49" s="1"/>
      <c r="B49" s="1"/>
      <c r="C49" s="1"/>
      <c r="D49" s="52"/>
      <c r="E49" s="52"/>
      <c r="F49" s="52"/>
      <c r="G49" s="44"/>
      <c r="H49" s="44"/>
    </row>
    <row r="50" spans="1:9" ht="14.25" thickBot="1" x14ac:dyDescent="0.3">
      <c r="A50" s="56"/>
      <c r="B50" s="56" t="s">
        <v>160</v>
      </c>
      <c r="C50" s="56"/>
      <c r="D50" s="57">
        <f>SUBTOTAL(9,D5:D48)</f>
        <v>79483.401734549989</v>
      </c>
      <c r="E50" s="57">
        <f>SUBTOTAL(9,E5:E48)</f>
        <v>3954.2970000000009</v>
      </c>
      <c r="F50" s="57">
        <f>SUBTOTAL(9,F5:F48)</f>
        <v>30077.104734550001</v>
      </c>
      <c r="G50" s="57">
        <f>SUBTOTAL(9,G5:G48)</f>
        <v>22726</v>
      </c>
      <c r="H50" s="57">
        <f>SUBTOTAL(9,H5:H48)</f>
        <v>22726</v>
      </c>
    </row>
    <row r="51" spans="1:9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9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9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9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9" ht="6.75" customHeight="1" x14ac:dyDescent="0.25">
      <c r="D55" s="36"/>
      <c r="E55" s="36"/>
      <c r="F55" s="36"/>
      <c r="G55" s="29"/>
      <c r="H55" s="29"/>
    </row>
    <row r="56" spans="1:9" hidden="1" x14ac:dyDescent="0.25">
      <c r="A56" s="58"/>
      <c r="B56" s="58" t="s">
        <v>0</v>
      </c>
      <c r="C56" s="58"/>
      <c r="D56" s="59"/>
      <c r="E56" s="59"/>
      <c r="F56" s="59"/>
      <c r="G56" s="59"/>
      <c r="H56" s="59"/>
    </row>
    <row r="57" spans="1:9" hidden="1" x14ac:dyDescent="0.25">
      <c r="B57" s="5" t="s">
        <v>2</v>
      </c>
      <c r="D57" s="36"/>
      <c r="E57" s="52">
        <f>E58*E59*E60*E61</f>
        <v>0</v>
      </c>
      <c r="F57" s="52">
        <f t="shared" ref="F57:H57" si="23">F58*F59*F60*F61</f>
        <v>0</v>
      </c>
      <c r="G57" s="52">
        <f t="shared" si="23"/>
        <v>0</v>
      </c>
      <c r="H57" s="52">
        <f t="shared" si="23"/>
        <v>0</v>
      </c>
    </row>
    <row r="58" spans="1:9" hidden="1" x14ac:dyDescent="0.25">
      <c r="A58" s="9"/>
      <c r="B58" s="9" t="s">
        <v>37</v>
      </c>
      <c r="C58" s="9"/>
      <c r="D58" s="36"/>
      <c r="E58" s="52">
        <v>0</v>
      </c>
      <c r="F58" s="52">
        <v>0</v>
      </c>
      <c r="G58" s="52">
        <v>0</v>
      </c>
      <c r="H58" s="52">
        <v>0</v>
      </c>
    </row>
    <row r="59" spans="1:9" hidden="1" x14ac:dyDescent="0.25">
      <c r="A59" s="9"/>
      <c r="B59" s="9" t="s">
        <v>38</v>
      </c>
      <c r="C59" s="9"/>
      <c r="D59" s="37"/>
      <c r="E59" s="53">
        <v>0</v>
      </c>
      <c r="F59" s="76">
        <f>3/22</f>
        <v>0.13636363636363635</v>
      </c>
      <c r="G59" s="76">
        <f t="shared" ref="G59:H59" si="24">3/22</f>
        <v>0.13636363636363635</v>
      </c>
      <c r="H59" s="76">
        <f t="shared" si="24"/>
        <v>0.13636363636363635</v>
      </c>
    </row>
    <row r="60" spans="1:9" hidden="1" x14ac:dyDescent="0.25">
      <c r="A60" s="9"/>
      <c r="B60" s="9" t="s">
        <v>39</v>
      </c>
      <c r="C60" s="9"/>
      <c r="D60" s="36"/>
      <c r="E60" s="52">
        <f>'Rates and GI'!D11</f>
        <v>0</v>
      </c>
      <c r="F60" s="52">
        <f>E60*(1+index)</f>
        <v>0</v>
      </c>
      <c r="G60" s="52">
        <f>F60*(1+index)</f>
        <v>0</v>
      </c>
      <c r="H60" s="52">
        <f>G60*(1+index)</f>
        <v>0</v>
      </c>
    </row>
    <row r="61" spans="1:9" hidden="1" x14ac:dyDescent="0.25">
      <c r="A61" s="9"/>
      <c r="B61" s="9" t="s">
        <v>40</v>
      </c>
      <c r="C61" s="9"/>
      <c r="D61" s="36"/>
      <c r="E61" s="54">
        <v>0</v>
      </c>
      <c r="F61" s="52">
        <v>4</v>
      </c>
      <c r="G61" s="44">
        <v>12</v>
      </c>
      <c r="H61" s="44">
        <v>12</v>
      </c>
    </row>
    <row r="62" spans="1:9" hidden="1" x14ac:dyDescent="0.25">
      <c r="A62" s="9"/>
      <c r="B62" s="9"/>
      <c r="C62" s="9"/>
      <c r="D62" s="36"/>
      <c r="E62" s="36"/>
      <c r="F62" s="36"/>
      <c r="G62" s="29"/>
      <c r="H62" s="29"/>
    </row>
    <row r="63" spans="1:9" x14ac:dyDescent="0.25">
      <c r="B63" s="5" t="s">
        <v>23</v>
      </c>
      <c r="D63" s="36"/>
      <c r="E63" s="52">
        <f>E64*E65</f>
        <v>371.17500000000001</v>
      </c>
      <c r="F63" s="52">
        <f t="shared" ref="F63:H63" si="25">F64*F65</f>
        <v>1161.406575</v>
      </c>
      <c r="G63" s="52">
        <f t="shared" si="25"/>
        <v>0</v>
      </c>
      <c r="H63" s="52">
        <f t="shared" si="25"/>
        <v>0</v>
      </c>
      <c r="I63" s="70"/>
    </row>
    <row r="64" spans="1:9" x14ac:dyDescent="0.25">
      <c r="A64" s="9"/>
      <c r="B64" s="9" t="s">
        <v>129</v>
      </c>
      <c r="C64" s="9" t="s">
        <v>128</v>
      </c>
      <c r="D64" s="36"/>
      <c r="E64" s="52">
        <v>21</v>
      </c>
      <c r="F64" s="52">
        <v>63</v>
      </c>
      <c r="G64" s="52">
        <v>0</v>
      </c>
      <c r="H64" s="52">
        <v>0</v>
      </c>
      <c r="I64" s="70"/>
    </row>
    <row r="65" spans="1:12" x14ac:dyDescent="0.25">
      <c r="A65" s="9"/>
      <c r="B65" s="9" t="s">
        <v>41</v>
      </c>
      <c r="C65" s="9"/>
      <c r="D65" s="36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  <c r="I65" s="70"/>
    </row>
    <row r="66" spans="1:12" x14ac:dyDescent="0.25">
      <c r="D66" s="36"/>
      <c r="E66" s="52"/>
      <c r="F66" s="52"/>
      <c r="G66" s="44"/>
      <c r="H66" s="44"/>
      <c r="I66" s="70"/>
    </row>
    <row r="67" spans="1:12" s="7" customFormat="1" x14ac:dyDescent="0.25">
      <c r="A67" s="5"/>
      <c r="B67" s="5" t="s">
        <v>191</v>
      </c>
      <c r="C67" s="5"/>
      <c r="D67" s="36"/>
      <c r="E67" s="52">
        <f>E68*E69</f>
        <v>3433.1220000000008</v>
      </c>
      <c r="F67" s="52">
        <f t="shared" ref="F67:H67" si="26">F68*F69</f>
        <v>3580.7462460000002</v>
      </c>
      <c r="G67" s="52">
        <f t="shared" si="26"/>
        <v>0</v>
      </c>
      <c r="H67" s="52">
        <f t="shared" si="26"/>
        <v>0</v>
      </c>
      <c r="I67" s="70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36"/>
      <c r="E68" s="52">
        <v>21</v>
      </c>
      <c r="F68" s="52">
        <v>21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36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>
      <c r="D70" s="36"/>
      <c r="E70" s="36"/>
      <c r="F70" s="36"/>
      <c r="G70" s="29"/>
      <c r="H70" s="29"/>
    </row>
    <row r="71" spans="1:12" s="7" customFormat="1" hidden="1" x14ac:dyDescent="0.25">
      <c r="A71" s="5"/>
      <c r="B71" s="5" t="s">
        <v>1</v>
      </c>
      <c r="C71" s="5"/>
      <c r="D71" s="36"/>
      <c r="E71" s="36"/>
      <c r="F71" s="36"/>
      <c r="G71" s="29"/>
      <c r="H71" s="29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36"/>
      <c r="E72" s="52">
        <v>0</v>
      </c>
      <c r="F72" s="52"/>
      <c r="G72" s="29"/>
      <c r="H72" s="29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36"/>
      <c r="E73" s="52">
        <v>0</v>
      </c>
      <c r="F73" s="52"/>
      <c r="G73" s="29"/>
      <c r="H73" s="29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36"/>
      <c r="E74" s="52">
        <v>0</v>
      </c>
      <c r="F74" s="52"/>
      <c r="G74" s="29"/>
      <c r="H74" s="29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36"/>
      <c r="E75" s="52">
        <v>0</v>
      </c>
      <c r="F75" s="52"/>
      <c r="G75" s="29"/>
      <c r="H75" s="29"/>
      <c r="I75" s="6"/>
      <c r="J75" s="6"/>
      <c r="K75" s="6"/>
      <c r="L75" s="6"/>
    </row>
    <row r="76" spans="1:12" hidden="1" x14ac:dyDescent="0.25">
      <c r="D76" s="36"/>
      <c r="E76" s="52"/>
      <c r="F76" s="52"/>
      <c r="G76" s="29"/>
      <c r="H76" s="29"/>
    </row>
    <row r="77" spans="1:12" s="7" customFormat="1" hidden="1" x14ac:dyDescent="0.25">
      <c r="A77" s="5"/>
      <c r="B77" s="5" t="s">
        <v>3</v>
      </c>
      <c r="C77" s="5"/>
      <c r="D77" s="36"/>
      <c r="E77" s="52"/>
      <c r="F77" s="52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36"/>
      <c r="E78" s="52">
        <v>0</v>
      </c>
      <c r="F78" s="52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36"/>
      <c r="E79" s="52">
        <v>0</v>
      </c>
      <c r="F79" s="52"/>
      <c r="G79" s="29"/>
      <c r="H79" s="29"/>
      <c r="I79" s="6"/>
      <c r="J79" s="6"/>
      <c r="K79" s="6"/>
      <c r="L79" s="6"/>
    </row>
    <row r="80" spans="1:12" hidden="1" x14ac:dyDescent="0.25">
      <c r="D80" s="36"/>
      <c r="E80" s="52"/>
      <c r="F80" s="52"/>
      <c r="G80" s="29"/>
      <c r="H80" s="29"/>
    </row>
    <row r="81" spans="1:12" s="7" customFormat="1" hidden="1" x14ac:dyDescent="0.25">
      <c r="A81" s="5"/>
      <c r="B81" s="5" t="s">
        <v>4</v>
      </c>
      <c r="C81" s="5"/>
      <c r="D81" s="36"/>
      <c r="E81" s="52"/>
      <c r="F81" s="52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36"/>
      <c r="E82" s="52">
        <v>0</v>
      </c>
      <c r="F82" s="52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36"/>
      <c r="E83" s="52">
        <v>0</v>
      </c>
      <c r="F83" s="52"/>
      <c r="G83" s="29"/>
      <c r="H83" s="29"/>
      <c r="I83" s="6"/>
      <c r="J83" s="6"/>
      <c r="K83" s="6"/>
      <c r="L83" s="6"/>
    </row>
    <row r="84" spans="1:12" hidden="1" x14ac:dyDescent="0.25">
      <c r="D84" s="36"/>
      <c r="E84" s="52"/>
      <c r="F84" s="52"/>
      <c r="G84" s="29"/>
      <c r="H84" s="29"/>
    </row>
    <row r="85" spans="1:12" s="7" customFormat="1" hidden="1" x14ac:dyDescent="0.25">
      <c r="A85" s="9"/>
      <c r="B85" s="9" t="s">
        <v>40</v>
      </c>
      <c r="C85" s="9"/>
      <c r="D85" s="36"/>
      <c r="E85" s="54"/>
      <c r="F85" s="52"/>
      <c r="G85" s="29"/>
      <c r="H85" s="29"/>
      <c r="I85" s="6"/>
      <c r="J85" s="6"/>
      <c r="K85" s="6"/>
      <c r="L85" s="6"/>
    </row>
    <row r="86" spans="1:12" x14ac:dyDescent="0.25">
      <c r="D86" s="36"/>
      <c r="E86" s="52"/>
      <c r="F86" s="52"/>
      <c r="G86" s="29"/>
      <c r="H86" s="29"/>
    </row>
    <row r="87" spans="1:12" hidden="1" x14ac:dyDescent="0.25">
      <c r="A87" s="58"/>
      <c r="B87" s="58" t="s">
        <v>10</v>
      </c>
      <c r="C87" s="58"/>
      <c r="D87" s="59"/>
      <c r="E87" s="60">
        <f>E88*E89+E91*E92</f>
        <v>0</v>
      </c>
      <c r="F87" s="60">
        <f t="shared" ref="F87:H87" si="27">F88*F89+F91*F92</f>
        <v>0</v>
      </c>
      <c r="G87" s="60">
        <f t="shared" si="27"/>
        <v>0</v>
      </c>
      <c r="H87" s="60">
        <f t="shared" si="27"/>
        <v>0</v>
      </c>
    </row>
    <row r="88" spans="1:12" s="7" customFormat="1" hidden="1" x14ac:dyDescent="0.25">
      <c r="A88" s="5"/>
      <c r="B88" s="9" t="s">
        <v>50</v>
      </c>
      <c r="C88" s="5"/>
      <c r="D88" s="36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36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>
      <c r="D90" s="36"/>
      <c r="E90" s="52"/>
      <c r="F90" s="52"/>
      <c r="G90" s="44"/>
      <c r="H90" s="44"/>
    </row>
    <row r="91" spans="1:12" s="7" customFormat="1" hidden="1" x14ac:dyDescent="0.25">
      <c r="A91" s="5"/>
      <c r="B91" s="9" t="s">
        <v>52</v>
      </c>
      <c r="C91" s="5"/>
      <c r="D91" s="36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36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>
      <c r="D93" s="36"/>
      <c r="E93" s="52"/>
      <c r="F93" s="52"/>
      <c r="G93" s="44"/>
      <c r="H93" s="44"/>
    </row>
    <row r="94" spans="1:12" hidden="1" x14ac:dyDescent="0.25">
      <c r="D94" s="36"/>
      <c r="E94" s="52"/>
      <c r="F94" s="52"/>
      <c r="G94" s="44"/>
      <c r="H94" s="44"/>
    </row>
    <row r="95" spans="1:12" x14ac:dyDescent="0.25">
      <c r="A95" s="58"/>
      <c r="B95" s="58" t="s">
        <v>194</v>
      </c>
      <c r="C95" s="58"/>
      <c r="D95" s="59"/>
      <c r="E95" s="60">
        <f>E96*E97</f>
        <v>0</v>
      </c>
      <c r="F95" s="60">
        <f t="shared" ref="F95:H95" si="28">F96*F97</f>
        <v>743.12691355000004</v>
      </c>
      <c r="G95" s="60">
        <f t="shared" si="28"/>
        <v>0</v>
      </c>
      <c r="H95" s="60">
        <f t="shared" si="28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36"/>
      <c r="E96" s="52"/>
      <c r="F96" s="52">
        <v>1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36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x14ac:dyDescent="0.25">
      <c r="D98" s="36"/>
      <c r="E98" s="52"/>
      <c r="F98" s="52"/>
      <c r="G98" s="44"/>
      <c r="H98" s="44"/>
    </row>
    <row r="99" spans="1:12" x14ac:dyDescent="0.25">
      <c r="A99" s="58"/>
      <c r="B99" s="58" t="s">
        <v>148</v>
      </c>
      <c r="C99" s="58"/>
      <c r="D99" s="59"/>
      <c r="E99" s="60">
        <f>E100*E101+E102*E103+E104*E105</f>
        <v>0</v>
      </c>
      <c r="F99" s="60">
        <f t="shared" ref="F99:H99" si="29">F100*F101+F102*F103+F104*F105</f>
        <v>13435.375</v>
      </c>
      <c r="G99" s="60">
        <f t="shared" si="29"/>
        <v>12726</v>
      </c>
      <c r="H99" s="60">
        <f t="shared" si="29"/>
        <v>12726</v>
      </c>
    </row>
    <row r="100" spans="1:12" hidden="1" x14ac:dyDescent="0.25">
      <c r="B100" s="45" t="s">
        <v>149</v>
      </c>
      <c r="C100" s="5" t="s">
        <v>150</v>
      </c>
      <c r="D100" s="52"/>
      <c r="E100" s="52"/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D101" s="52"/>
      <c r="E101" s="52"/>
      <c r="F101" s="52">
        <f>F88</f>
        <v>0</v>
      </c>
      <c r="G101" s="52">
        <f t="shared" ref="G101:H101" si="30">G88</f>
        <v>0</v>
      </c>
      <c r="H101" s="52">
        <f t="shared" si="30"/>
        <v>0</v>
      </c>
    </row>
    <row r="102" spans="1:12" x14ac:dyDescent="0.25">
      <c r="B102" s="45" t="s">
        <v>152</v>
      </c>
      <c r="D102" s="52"/>
      <c r="E102" s="52"/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x14ac:dyDescent="0.25">
      <c r="B103" s="45" t="s">
        <v>153</v>
      </c>
      <c r="D103" s="52"/>
      <c r="E103" s="52">
        <f>E104*E105</f>
        <v>0</v>
      </c>
      <c r="F103" s="52">
        <v>1</v>
      </c>
      <c r="G103" s="52">
        <v>0</v>
      </c>
      <c r="H103" s="52">
        <v>0</v>
      </c>
    </row>
    <row r="104" spans="1:12" x14ac:dyDescent="0.25">
      <c r="B104" s="45" t="s">
        <v>272</v>
      </c>
      <c r="C104" s="5" t="s">
        <v>347</v>
      </c>
      <c r="D104" s="52"/>
      <c r="E104" s="52">
        <f>Training!$C$52</f>
        <v>84.84</v>
      </c>
      <c r="F104" s="52">
        <f>Training!$C$52</f>
        <v>84.84</v>
      </c>
      <c r="G104" s="52">
        <f>Training!$C$52</f>
        <v>84.84</v>
      </c>
      <c r="H104" s="52">
        <f>Training!$C$52</f>
        <v>84.84</v>
      </c>
    </row>
    <row r="105" spans="1:12" x14ac:dyDescent="0.25">
      <c r="B105" s="45" t="s">
        <v>153</v>
      </c>
      <c r="D105" s="52"/>
      <c r="E105" s="36">
        <v>0</v>
      </c>
      <c r="F105" s="52">
        <f t="shared" ref="F105:H105" si="31">10*15</f>
        <v>150</v>
      </c>
      <c r="G105" s="52">
        <f t="shared" si="31"/>
        <v>150</v>
      </c>
      <c r="H105" s="52">
        <f t="shared" si="31"/>
        <v>150</v>
      </c>
    </row>
    <row r="106" spans="1:12" x14ac:dyDescent="0.25">
      <c r="B106" s="45"/>
      <c r="D106" s="36"/>
      <c r="E106" s="52"/>
      <c r="F106" s="52"/>
      <c r="G106" s="44"/>
      <c r="H106" s="44"/>
    </row>
    <row r="107" spans="1:12" x14ac:dyDescent="0.25">
      <c r="A107" s="58"/>
      <c r="B107" s="58" t="s">
        <v>24</v>
      </c>
      <c r="C107" s="58"/>
      <c r="D107" s="59"/>
      <c r="E107" s="60">
        <f>E108*E109</f>
        <v>150</v>
      </c>
      <c r="F107" s="60">
        <f t="shared" ref="F107:H107" si="32">F108*F109</f>
        <v>156.44999999999999</v>
      </c>
      <c r="G107" s="60">
        <f t="shared" si="32"/>
        <v>0</v>
      </c>
      <c r="H107" s="60">
        <f t="shared" si="32"/>
        <v>0</v>
      </c>
    </row>
    <row r="108" spans="1:12" s="7" customFormat="1" x14ac:dyDescent="0.25">
      <c r="A108" s="5"/>
      <c r="B108" s="45" t="s">
        <v>54</v>
      </c>
      <c r="C108" s="5"/>
      <c r="D108" s="36"/>
      <c r="E108" s="52">
        <v>25</v>
      </c>
      <c r="F108" s="52">
        <v>25</v>
      </c>
      <c r="G108" s="52"/>
      <c r="H108" s="52"/>
      <c r="I108" s="6"/>
      <c r="J108" s="6"/>
      <c r="K108" s="6"/>
      <c r="L108" s="6"/>
    </row>
    <row r="109" spans="1:12" s="7" customFormat="1" x14ac:dyDescent="0.25">
      <c r="A109" s="5"/>
      <c r="B109" s="45" t="s">
        <v>55</v>
      </c>
      <c r="C109" s="5"/>
      <c r="D109" s="36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6"/>
      <c r="J109" s="6"/>
      <c r="K109" s="6"/>
      <c r="L109" s="6"/>
    </row>
    <row r="110" spans="1:12" x14ac:dyDescent="0.25">
      <c r="D110" s="36"/>
      <c r="E110" s="52"/>
      <c r="F110" s="52"/>
      <c r="G110" s="44"/>
      <c r="H110" s="44"/>
    </row>
    <row r="111" spans="1:12" hidden="1" x14ac:dyDescent="0.25">
      <c r="A111" s="58"/>
      <c r="B111" s="58" t="s">
        <v>7</v>
      </c>
      <c r="C111" s="58"/>
      <c r="D111" s="59"/>
      <c r="E111" s="59"/>
      <c r="F111" s="59"/>
      <c r="G111" s="59"/>
      <c r="H111" s="59"/>
    </row>
    <row r="112" spans="1:12" s="7" customFormat="1" hidden="1" x14ac:dyDescent="0.25">
      <c r="A112" s="5"/>
      <c r="B112" s="4" t="s">
        <v>58</v>
      </c>
      <c r="C112" s="5"/>
      <c r="D112" s="36"/>
      <c r="E112" s="36"/>
      <c r="F112" s="36"/>
      <c r="G112" s="29"/>
      <c r="H112" s="29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48"/>
      <c r="E113" s="48"/>
      <c r="F113" s="48"/>
      <c r="G113" s="49"/>
      <c r="H113" s="49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48"/>
      <c r="E114" s="48"/>
      <c r="F114" s="48"/>
      <c r="G114" s="49"/>
      <c r="H114" s="49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48"/>
      <c r="E115" s="48"/>
      <c r="F115" s="48"/>
      <c r="G115" s="49"/>
      <c r="H115" s="49"/>
      <c r="I115" s="50"/>
      <c r="J115" s="50"/>
      <c r="K115" s="50"/>
      <c r="L115" s="50"/>
    </row>
    <row r="116" spans="1:12" hidden="1" x14ac:dyDescent="0.25">
      <c r="D116" s="36"/>
      <c r="E116" s="36"/>
      <c r="F116" s="36"/>
      <c r="G116" s="29"/>
      <c r="H116" s="29"/>
    </row>
    <row r="117" spans="1:12" hidden="1" x14ac:dyDescent="0.25">
      <c r="A117" s="58"/>
      <c r="B117" s="58" t="s">
        <v>26</v>
      </c>
      <c r="C117" s="58"/>
      <c r="D117" s="59"/>
      <c r="E117" s="59"/>
      <c r="F117" s="59"/>
      <c r="G117" s="59"/>
      <c r="H117" s="59"/>
    </row>
    <row r="118" spans="1:12" s="5" customFormat="1" hidden="1" x14ac:dyDescent="0.25">
      <c r="B118" s="63" t="s">
        <v>61</v>
      </c>
      <c r="D118" s="36"/>
      <c r="E118" s="36"/>
      <c r="F118" s="36"/>
      <c r="G118" s="29"/>
      <c r="H118" s="29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36"/>
      <c r="E119" s="36"/>
      <c r="F119" s="36"/>
      <c r="G119" s="29"/>
      <c r="H119" s="29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63" t="s">
        <v>62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hidden="1" x14ac:dyDescent="0.25">
      <c r="D127" s="36"/>
      <c r="E127" s="36"/>
      <c r="F127" s="36"/>
      <c r="G127" s="29"/>
      <c r="H127" s="29"/>
    </row>
    <row r="128" spans="1:12" x14ac:dyDescent="0.25">
      <c r="A128" s="58"/>
      <c r="B128" s="58" t="s">
        <v>25</v>
      </c>
      <c r="C128" s="58"/>
      <c r="D128" s="59"/>
      <c r="E128" s="59"/>
      <c r="F128" s="59"/>
      <c r="G128" s="59"/>
      <c r="H128" s="59"/>
    </row>
    <row r="129" spans="1:12" s="5" customFormat="1" hidden="1" x14ac:dyDescent="0.25">
      <c r="B129" s="47" t="s">
        <v>64</v>
      </c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36"/>
      <c r="E130" s="36"/>
      <c r="F130" s="36"/>
      <c r="G130" s="29"/>
      <c r="H130" s="29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36"/>
      <c r="E131" s="36"/>
      <c r="F131" s="36"/>
      <c r="G131" s="29"/>
      <c r="H131" s="29"/>
      <c r="I131" s="6"/>
      <c r="J131" s="6"/>
      <c r="K131" s="6"/>
      <c r="L131" s="6"/>
    </row>
    <row r="132" spans="1:12" s="5" customFormat="1" x14ac:dyDescent="0.25">
      <c r="B132" s="5" t="s">
        <v>173</v>
      </c>
      <c r="D132" s="36"/>
      <c r="E132" s="52">
        <f>E133+E134*E135</f>
        <v>0</v>
      </c>
      <c r="F132" s="52">
        <f t="shared" ref="F132:H132" si="33">F133+F134*F135</f>
        <v>10500</v>
      </c>
      <c r="G132" s="52">
        <f t="shared" si="33"/>
        <v>10000</v>
      </c>
      <c r="H132" s="52">
        <f t="shared" si="33"/>
        <v>10000</v>
      </c>
    </row>
    <row r="133" spans="1:12" x14ac:dyDescent="0.25">
      <c r="B133" s="47" t="s">
        <v>220</v>
      </c>
      <c r="D133" s="36"/>
      <c r="E133" s="52"/>
      <c r="F133" s="52">
        <f>'Rates and GI'!D56</f>
        <v>500</v>
      </c>
      <c r="G133" s="44"/>
      <c r="H133" s="44"/>
    </row>
    <row r="134" spans="1:12" x14ac:dyDescent="0.25">
      <c r="B134" s="47" t="s">
        <v>178</v>
      </c>
      <c r="D134" s="36"/>
      <c r="E134" s="68">
        <f>'Rates and GI'!$D$59</f>
        <v>0.02</v>
      </c>
      <c r="F134" s="68">
        <f>'Rates and GI'!$D$59</f>
        <v>0.02</v>
      </c>
      <c r="G134" s="68">
        <f>'Rates and GI'!$D$59</f>
        <v>0.02</v>
      </c>
      <c r="H134" s="68">
        <f>'Rates and GI'!$D$59</f>
        <v>0.02</v>
      </c>
    </row>
    <row r="135" spans="1:12" x14ac:dyDescent="0.25">
      <c r="B135" s="47" t="s">
        <v>179</v>
      </c>
      <c r="D135" s="36"/>
      <c r="E135" s="52">
        <v>0</v>
      </c>
      <c r="F135" s="52">
        <f>50*10*1000</f>
        <v>500000</v>
      </c>
      <c r="G135" s="52">
        <f t="shared" ref="G135:H135" si="34">50*10*1000</f>
        <v>500000</v>
      </c>
      <c r="H135" s="52">
        <f t="shared" si="34"/>
        <v>500000</v>
      </c>
    </row>
    <row r="136" spans="1:12" s="5" customFormat="1" x14ac:dyDescent="0.25">
      <c r="B136" s="47"/>
      <c r="D136" s="36"/>
      <c r="E136" s="36"/>
      <c r="F136" s="36"/>
      <c r="G136" s="29"/>
      <c r="H136" s="29"/>
      <c r="I136" s="6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59"/>
      <c r="E137" s="60">
        <f>E138*E139+E140*E141++E142*E143+E144*E145</f>
        <v>0</v>
      </c>
      <c r="F137" s="60">
        <f t="shared" ref="F137:H137" si="35">F138*F139+F140*F141++F142*F143+F144*F145</f>
        <v>500</v>
      </c>
      <c r="G137" s="60">
        <f t="shared" si="35"/>
        <v>0</v>
      </c>
      <c r="H137" s="60">
        <f t="shared" si="35"/>
        <v>0</v>
      </c>
    </row>
    <row r="138" spans="1:12" hidden="1" x14ac:dyDescent="0.25">
      <c r="B138" s="47" t="s">
        <v>169</v>
      </c>
      <c r="D138" s="36"/>
      <c r="E138" s="52"/>
      <c r="F138" s="52"/>
      <c r="G138" s="52">
        <v>0</v>
      </c>
      <c r="H138" s="52"/>
    </row>
    <row r="139" spans="1:12" hidden="1" x14ac:dyDescent="0.25">
      <c r="B139" s="47" t="s">
        <v>170</v>
      </c>
      <c r="D139" s="36"/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D140" s="36"/>
      <c r="E140" s="52"/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D141" s="36"/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D142" s="36"/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D143" s="36"/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x14ac:dyDescent="0.25">
      <c r="B144" s="47" t="s">
        <v>354</v>
      </c>
      <c r="D144" s="36"/>
      <c r="E144" s="52">
        <v>0</v>
      </c>
      <c r="F144" s="52">
        <v>10</v>
      </c>
      <c r="G144" s="44">
        <v>0</v>
      </c>
      <c r="H144" s="44">
        <v>0</v>
      </c>
      <c r="I144" s="6"/>
      <c r="J144" s="6"/>
      <c r="K144" s="6"/>
      <c r="L144" s="6"/>
    </row>
    <row r="145" spans="1:12" s="5" customFormat="1" x14ac:dyDescent="0.25">
      <c r="B145" s="47" t="s">
        <v>349</v>
      </c>
      <c r="D145" s="36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6" spans="1:12" x14ac:dyDescent="0.25">
      <c r="A146" s="58"/>
      <c r="B146" s="58"/>
      <c r="C146" s="58"/>
      <c r="D146" s="59"/>
      <c r="E146" s="60"/>
      <c r="F146" s="60"/>
      <c r="G146" s="60"/>
      <c r="H146" s="60"/>
    </row>
    <row r="147" spans="1:12" hidden="1" x14ac:dyDescent="0.25">
      <c r="A147" s="58"/>
      <c r="B147" s="58" t="s">
        <v>218</v>
      </c>
      <c r="C147" s="58"/>
      <c r="D147" s="59"/>
      <c r="E147" s="60">
        <f>E148+E151+E154+E163+E168</f>
        <v>0</v>
      </c>
      <c r="F147" s="60">
        <f t="shared" ref="F147:H147" si="36">F148+F151+F154+F163+F168</f>
        <v>0</v>
      </c>
      <c r="G147" s="60">
        <f t="shared" si="36"/>
        <v>0</v>
      </c>
      <c r="H147" s="60">
        <f t="shared" si="36"/>
        <v>0</v>
      </c>
    </row>
    <row r="148" spans="1:12" s="5" customFormat="1" hidden="1" x14ac:dyDescent="0.25">
      <c r="B148" s="5" t="s">
        <v>197</v>
      </c>
      <c r="D148" s="36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7">H149+H152*H153</f>
        <v>0</v>
      </c>
    </row>
    <row r="149" spans="1:12" hidden="1" x14ac:dyDescent="0.25">
      <c r="B149" s="47" t="s">
        <v>208</v>
      </c>
      <c r="D149" s="36"/>
      <c r="E149" s="52"/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D150" s="36"/>
      <c r="E150" s="52"/>
      <c r="F150" s="52">
        <f>'Rates and GI'!$D$62*0</f>
        <v>0</v>
      </c>
      <c r="G150" s="52">
        <f>'Rates and GI'!$D$62*0</f>
        <v>0</v>
      </c>
      <c r="H150" s="52"/>
    </row>
    <row r="151" spans="1:12" hidden="1" x14ac:dyDescent="0.25">
      <c r="B151" s="5" t="s">
        <v>198</v>
      </c>
      <c r="D151" s="36"/>
      <c r="E151" s="52">
        <f>E152*E153</f>
        <v>0</v>
      </c>
      <c r="F151" s="52">
        <f t="shared" ref="F151:H151" si="38">F152*F153</f>
        <v>0</v>
      </c>
      <c r="G151" s="52">
        <f t="shared" si="38"/>
        <v>0</v>
      </c>
      <c r="H151" s="52">
        <f t="shared" si="38"/>
        <v>0</v>
      </c>
    </row>
    <row r="152" spans="1:12" hidden="1" x14ac:dyDescent="0.25">
      <c r="B152" s="47" t="s">
        <v>186</v>
      </c>
      <c r="D152" s="36"/>
      <c r="E152" s="52"/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D153" s="36"/>
      <c r="E153" s="52"/>
      <c r="F153" s="52">
        <v>0</v>
      </c>
      <c r="G153" s="52">
        <v>0</v>
      </c>
      <c r="H153" s="52">
        <v>0</v>
      </c>
    </row>
    <row r="154" spans="1:12" hidden="1" x14ac:dyDescent="0.25">
      <c r="B154" s="5" t="s">
        <v>199</v>
      </c>
      <c r="D154" s="36"/>
      <c r="E154" s="52">
        <f>E155+E159</f>
        <v>0</v>
      </c>
      <c r="F154" s="52">
        <f t="shared" ref="F154:H154" si="39">F155+F159</f>
        <v>0</v>
      </c>
      <c r="G154" s="52">
        <f t="shared" si="39"/>
        <v>0</v>
      </c>
      <c r="H154" s="52">
        <f t="shared" si="39"/>
        <v>0</v>
      </c>
    </row>
    <row r="155" spans="1:12" hidden="1" x14ac:dyDescent="0.25">
      <c r="B155" s="47" t="s">
        <v>213</v>
      </c>
      <c r="D155" s="36"/>
      <c r="E155" s="52">
        <f>E156*E157</f>
        <v>0</v>
      </c>
      <c r="F155" s="52">
        <f t="shared" ref="F155:H155" si="40">F156*F157</f>
        <v>0</v>
      </c>
      <c r="G155" s="52">
        <f t="shared" si="40"/>
        <v>0</v>
      </c>
      <c r="H155" s="52">
        <f t="shared" si="40"/>
        <v>0</v>
      </c>
    </row>
    <row r="156" spans="1:12" hidden="1" x14ac:dyDescent="0.25">
      <c r="B156" s="47" t="s">
        <v>200</v>
      </c>
      <c r="C156" s="5" t="s">
        <v>201</v>
      </c>
      <c r="D156" s="36"/>
      <c r="E156" s="52">
        <v>0</v>
      </c>
      <c r="F156" s="52">
        <v>0</v>
      </c>
      <c r="G156" s="52">
        <v>0</v>
      </c>
      <c r="H156" s="52">
        <v>0</v>
      </c>
    </row>
    <row r="157" spans="1:12" hidden="1" x14ac:dyDescent="0.25">
      <c r="B157" s="47" t="s">
        <v>202</v>
      </c>
      <c r="D157" s="36"/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  <c r="D158" s="36"/>
      <c r="E158" s="52"/>
      <c r="F158" s="52"/>
      <c r="G158" s="44"/>
      <c r="H158" s="44"/>
    </row>
    <row r="159" spans="1:12" hidden="1" x14ac:dyDescent="0.25">
      <c r="B159" s="47" t="s">
        <v>214</v>
      </c>
      <c r="D159" s="36"/>
      <c r="E159" s="52">
        <f>E160*E161</f>
        <v>0</v>
      </c>
      <c r="F159" s="52">
        <f t="shared" ref="F159:H159" si="41">F160*F161</f>
        <v>0</v>
      </c>
      <c r="G159" s="52">
        <f t="shared" si="41"/>
        <v>0</v>
      </c>
      <c r="H159" s="52">
        <f t="shared" si="41"/>
        <v>0</v>
      </c>
    </row>
    <row r="160" spans="1:12" hidden="1" x14ac:dyDescent="0.25">
      <c r="B160" s="47" t="s">
        <v>200</v>
      </c>
      <c r="C160" s="5" t="s">
        <v>201</v>
      </c>
      <c r="D160" s="36"/>
      <c r="E160" s="52">
        <v>0</v>
      </c>
      <c r="F160" s="52">
        <v>0</v>
      </c>
      <c r="G160" s="52">
        <v>0</v>
      </c>
      <c r="H160" s="52">
        <v>0</v>
      </c>
    </row>
    <row r="161" spans="2:8" hidden="1" x14ac:dyDescent="0.25">
      <c r="B161" s="47" t="s">
        <v>202</v>
      </c>
      <c r="D161" s="36"/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2:8" hidden="1" x14ac:dyDescent="0.25">
      <c r="B162" s="6"/>
      <c r="D162" s="36"/>
      <c r="E162" s="52"/>
      <c r="F162" s="52"/>
      <c r="G162" s="44"/>
      <c r="H162" s="44"/>
    </row>
    <row r="163" spans="2:8" hidden="1" x14ac:dyDescent="0.25">
      <c r="B163" s="5" t="s">
        <v>203</v>
      </c>
      <c r="D163" s="36"/>
      <c r="E163" s="52">
        <f>E164*E165*E166</f>
        <v>0</v>
      </c>
      <c r="F163" s="52">
        <f t="shared" ref="F163:H163" si="42">F164*F165*F166</f>
        <v>0</v>
      </c>
      <c r="G163" s="52">
        <f t="shared" si="42"/>
        <v>0</v>
      </c>
      <c r="H163" s="52">
        <f t="shared" si="42"/>
        <v>0</v>
      </c>
    </row>
    <row r="164" spans="2:8" hidden="1" x14ac:dyDescent="0.25">
      <c r="B164" s="47" t="s">
        <v>215</v>
      </c>
      <c r="D164" s="36"/>
      <c r="E164" s="52"/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2:8" hidden="1" x14ac:dyDescent="0.25">
      <c r="B165" s="47" t="s">
        <v>216</v>
      </c>
      <c r="D165" s="36"/>
      <c r="E165" s="52">
        <v>0</v>
      </c>
      <c r="F165" s="52">
        <v>0</v>
      </c>
      <c r="G165" s="52">
        <v>0</v>
      </c>
      <c r="H165" s="52">
        <v>0</v>
      </c>
    </row>
    <row r="166" spans="2:8" hidden="1" x14ac:dyDescent="0.25">
      <c r="B166" s="47" t="s">
        <v>217</v>
      </c>
      <c r="D166" s="36"/>
      <c r="E166" s="52">
        <v>0</v>
      </c>
      <c r="F166" s="52">
        <v>0</v>
      </c>
      <c r="G166" s="52">
        <v>0</v>
      </c>
      <c r="H166" s="52">
        <v>0</v>
      </c>
    </row>
    <row r="167" spans="2:8" hidden="1" x14ac:dyDescent="0.25">
      <c r="D167" s="36"/>
      <c r="E167" s="52"/>
      <c r="F167" s="52"/>
      <c r="G167" s="44"/>
      <c r="H167" s="44"/>
    </row>
    <row r="168" spans="2:8" hidden="1" x14ac:dyDescent="0.25">
      <c r="B168" s="5" t="s">
        <v>196</v>
      </c>
      <c r="D168" s="36"/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2:8" hidden="1" x14ac:dyDescent="0.25">
      <c r="B169" s="47" t="s">
        <v>172</v>
      </c>
      <c r="D169" s="36"/>
      <c r="E169" s="52"/>
      <c r="F169" s="52">
        <f>'Rates and GI'!D57*0</f>
        <v>0</v>
      </c>
      <c r="G169" s="44"/>
      <c r="H169" s="44"/>
    </row>
    <row r="170" spans="2:8" hidden="1" x14ac:dyDescent="0.25">
      <c r="B170" s="47" t="s">
        <v>178</v>
      </c>
      <c r="D170" s="36"/>
      <c r="E170" s="52"/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2:8" hidden="1" x14ac:dyDescent="0.25">
      <c r="B171" s="47" t="s">
        <v>179</v>
      </c>
      <c r="D171" s="36"/>
      <c r="E171" s="52"/>
      <c r="F171" s="52">
        <v>0</v>
      </c>
      <c r="G171" s="44">
        <v>0</v>
      </c>
      <c r="H171" s="44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73"/>
  <sheetViews>
    <sheetView topLeftCell="A22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17.25" x14ac:dyDescent="0.3">
      <c r="A1" s="227">
        <v>44</v>
      </c>
      <c r="B1" s="228" t="s">
        <v>274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652.26052499999992</v>
      </c>
      <c r="E5" s="52">
        <f>E63</f>
        <v>265.125</v>
      </c>
      <c r="F5" s="52">
        <f t="shared" ref="F5:H5" si="1">F63</f>
        <v>387.13552499999997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652.26052499999992</v>
      </c>
      <c r="E7" s="55">
        <f>SUBTOTAL(9,E5:E6)</f>
        <v>265.125</v>
      </c>
      <c r="F7" s="55">
        <f>SUBTOTAL(9,F5:F6)</f>
        <v>387.13552499999997</v>
      </c>
      <c r="G7" s="55">
        <f>SUBTOTAL(9,G5:G6)</f>
        <v>0</v>
      </c>
      <c r="H7" s="55">
        <f>SUBTOTAL(9,H5:H6)</f>
        <v>0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1040</v>
      </c>
      <c r="E10" s="52">
        <f>E87</f>
        <v>0</v>
      </c>
      <c r="F10" s="52">
        <f t="shared" ref="F10:H10" si="4">F87</f>
        <v>260</v>
      </c>
      <c r="G10" s="52">
        <f t="shared" si="4"/>
        <v>260</v>
      </c>
      <c r="H10" s="52">
        <f t="shared" si="4"/>
        <v>520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1040</v>
      </c>
      <c r="E12" s="55">
        <f t="shared" ref="E12:H12" si="5">SUBTOTAL(9,E10:E11)</f>
        <v>0</v>
      </c>
      <c r="F12" s="55">
        <f t="shared" si="5"/>
        <v>260</v>
      </c>
      <c r="G12" s="55">
        <f t="shared" si="5"/>
        <v>260</v>
      </c>
      <c r="H12" s="55">
        <f t="shared" si="5"/>
        <v>520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4.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E107</f>
        <v>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550</v>
      </c>
      <c r="E26" s="52">
        <f>E132</f>
        <v>0</v>
      </c>
      <c r="F26" s="52">
        <f>F132</f>
        <v>550</v>
      </c>
      <c r="G26" s="52">
        <f>G132</f>
        <v>0</v>
      </c>
      <c r="H26" s="52">
        <f>H132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550</v>
      </c>
      <c r="E28" s="55">
        <f t="shared" ref="E28:H28" si="15">SUBTOTAL(9,E25:E27)</f>
        <v>0</v>
      </c>
      <c r="F28" s="55">
        <f t="shared" si="15"/>
        <v>550</v>
      </c>
      <c r="G28" s="55">
        <f t="shared" si="15"/>
        <v>0</v>
      </c>
      <c r="H28" s="55">
        <f t="shared" si="15"/>
        <v>0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4.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0</v>
      </c>
      <c r="E46" s="52">
        <f>E147</f>
        <v>0</v>
      </c>
      <c r="F46" s="52">
        <f t="shared" ref="F46:H46" si="21">F147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si="20"/>
        <v>400</v>
      </c>
      <c r="E47" s="52">
        <f>E137</f>
        <v>0</v>
      </c>
      <c r="F47" s="52">
        <f t="shared" ref="F47:H47" si="22">F137</f>
        <v>400</v>
      </c>
      <c r="G47" s="52">
        <f t="shared" si="22"/>
        <v>0</v>
      </c>
      <c r="H47" s="52">
        <f t="shared" si="22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400</v>
      </c>
      <c r="E48" s="55">
        <f>SUBTOTAL(9,E46:E47)</f>
        <v>0</v>
      </c>
      <c r="F48" s="55">
        <f>SUBTOTAL(9,F46:F47)</f>
        <v>400</v>
      </c>
      <c r="G48" s="55">
        <f>SUBTOTAL(9,G46:G47)</f>
        <v>0</v>
      </c>
      <c r="H48" s="55">
        <f>SUBTOTAL(9,H46:H47)</f>
        <v>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2642.2605249999997</v>
      </c>
      <c r="E50" s="57">
        <f>SUBTOTAL(9,E5:E48)</f>
        <v>265.125</v>
      </c>
      <c r="F50" s="57">
        <f>SUBTOTAL(9,F5:F48)</f>
        <v>1597.1355249999999</v>
      </c>
      <c r="G50" s="57">
        <f>SUBTOTAL(9,G5:G48)</f>
        <v>260</v>
      </c>
      <c r="H50" s="57">
        <f>SUBTOTAL(9,H5:H48)</f>
        <v>520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265.125</v>
      </c>
      <c r="F63" s="52">
        <f t="shared" ref="F63:H63" si="23">F64*F65</f>
        <v>387.13552499999997</v>
      </c>
      <c r="G63" s="52">
        <f t="shared" si="23"/>
        <v>0</v>
      </c>
      <c r="H63" s="52">
        <f t="shared" si="23"/>
        <v>0</v>
      </c>
    </row>
    <row r="64" spans="1:8" x14ac:dyDescent="0.25">
      <c r="A64" s="9"/>
      <c r="B64" s="9" t="s">
        <v>129</v>
      </c>
      <c r="C64" s="9" t="s">
        <v>128</v>
      </c>
      <c r="E64" s="52">
        <v>15</v>
      </c>
      <c r="F64" s="52">
        <v>21</v>
      </c>
      <c r="G64" s="52">
        <v>0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4">F68*F69</f>
        <v>0</v>
      </c>
      <c r="G67" s="52">
        <f t="shared" si="24"/>
        <v>0</v>
      </c>
      <c r="H67" s="52">
        <f t="shared" si="24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5">F88*F89+F91*F92</f>
        <v>260</v>
      </c>
      <c r="G87" s="60">
        <f t="shared" si="25"/>
        <v>260</v>
      </c>
      <c r="H87" s="60">
        <f t="shared" si="25"/>
        <v>520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x14ac:dyDescent="0.25">
      <c r="A91" s="5"/>
      <c r="B91" s="9" t="s">
        <v>52</v>
      </c>
      <c r="C91" s="5"/>
      <c r="D91" s="52"/>
      <c r="E91" s="52">
        <v>0</v>
      </c>
      <c r="F91" s="52">
        <v>5</v>
      </c>
      <c r="G91" s="44">
        <v>5</v>
      </c>
      <c r="H91" s="44">
        <v>10</v>
      </c>
      <c r="I91" s="6"/>
      <c r="J91" s="6"/>
      <c r="K91" s="6"/>
      <c r="L91" s="6"/>
    </row>
    <row r="92" spans="1:12" s="7" customFormat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6">F96*F97</f>
        <v>0</v>
      </c>
      <c r="G95" s="60">
        <f t="shared" si="26"/>
        <v>0</v>
      </c>
      <c r="H95" s="60">
        <f t="shared" si="26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/>
    <row r="99" spans="1:12" hidden="1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7">F100*F101+F102*F103+F104*F105</f>
        <v>0</v>
      </c>
      <c r="G99" s="60">
        <f t="shared" si="27"/>
        <v>0</v>
      </c>
      <c r="H99" s="60">
        <f t="shared" si="27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 t="s">
        <v>272</v>
      </c>
      <c r="C104" s="5" t="s">
        <v>155</v>
      </c>
      <c r="E104" s="52">
        <f>Training!$C$34</f>
        <v>62.5</v>
      </c>
      <c r="F104" s="52">
        <f>Training!$C$34</f>
        <v>62.5</v>
      </c>
      <c r="G104" s="52">
        <f>Training!$C$34</f>
        <v>62.5</v>
      </c>
      <c r="H104" s="52">
        <f>Training!$C$34</f>
        <v>62.5</v>
      </c>
    </row>
    <row r="105" spans="1:12" hidden="1" x14ac:dyDescent="0.25">
      <c r="B105" s="45" t="s">
        <v>151</v>
      </c>
      <c r="C105" s="5" t="s">
        <v>273</v>
      </c>
      <c r="E105" s="52">
        <v>0</v>
      </c>
      <c r="F105" s="52">
        <v>0</v>
      </c>
      <c r="G105" s="52">
        <v>0</v>
      </c>
      <c r="H105" s="52">
        <v>0</v>
      </c>
    </row>
    <row r="106" spans="1:12" hidden="1" x14ac:dyDescent="0.25">
      <c r="B106" s="45"/>
    </row>
    <row r="107" spans="1:12" hidden="1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29">F108*F109</f>
        <v>0</v>
      </c>
      <c r="G107" s="60">
        <f t="shared" si="29"/>
        <v>0</v>
      </c>
      <c r="H107" s="60">
        <f t="shared" si="29"/>
        <v>0</v>
      </c>
    </row>
    <row r="108" spans="1:12" s="7" customFormat="1" hidden="1" x14ac:dyDescent="0.25">
      <c r="A108" s="5"/>
      <c r="B108" s="45" t="s">
        <v>54</v>
      </c>
      <c r="C108" s="5"/>
      <c r="D108" s="52"/>
      <c r="E108" s="52">
        <v>0</v>
      </c>
      <c r="F108" s="52">
        <v>0</v>
      </c>
      <c r="G108" s="52"/>
      <c r="H108" s="52"/>
      <c r="I108" s="6"/>
      <c r="J108" s="6"/>
      <c r="K108" s="6"/>
      <c r="L108" s="6"/>
    </row>
    <row r="109" spans="1:12" s="7" customFormat="1" hidden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6"/>
      <c r="J109" s="6"/>
      <c r="K109" s="6"/>
      <c r="L109" s="6"/>
    </row>
    <row r="110" spans="1:12" hidden="1" x14ac:dyDescent="0.25"/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hidden="1" x14ac:dyDescent="0.25"/>
    <row r="117" spans="1:12" hidden="1" x14ac:dyDescent="0.25">
      <c r="A117" s="58"/>
      <c r="B117" s="58" t="s">
        <v>26</v>
      </c>
      <c r="C117" s="58"/>
      <c r="D117" s="60"/>
      <c r="E117" s="60"/>
      <c r="F117" s="60"/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63" t="s">
        <v>62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hidden="1" x14ac:dyDescent="0.25"/>
    <row r="128" spans="1:12" x14ac:dyDescent="0.25">
      <c r="A128" s="58"/>
      <c r="B128" s="58" t="s">
        <v>25</v>
      </c>
      <c r="C128" s="58"/>
      <c r="D128" s="60"/>
      <c r="E128" s="60"/>
      <c r="F128" s="60"/>
      <c r="G128" s="60"/>
      <c r="H128" s="60"/>
    </row>
    <row r="129" spans="1:12" s="5" customFormat="1" hidden="1" x14ac:dyDescent="0.25">
      <c r="B129" s="47" t="s">
        <v>64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52"/>
      <c r="E130" s="52"/>
      <c r="F130" s="52"/>
      <c r="G130" s="44"/>
      <c r="H130" s="44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x14ac:dyDescent="0.25">
      <c r="B132" s="5" t="s">
        <v>173</v>
      </c>
      <c r="D132" s="52"/>
      <c r="E132" s="52">
        <f>E133+E134*E135</f>
        <v>0</v>
      </c>
      <c r="F132" s="52">
        <f>F133+F134*F135</f>
        <v>550</v>
      </c>
      <c r="G132" s="52">
        <f t="shared" ref="G132:H132" si="30">G133+G134*G135</f>
        <v>0</v>
      </c>
      <c r="H132" s="52">
        <f t="shared" si="30"/>
        <v>0</v>
      </c>
    </row>
    <row r="133" spans="1:12" x14ac:dyDescent="0.25">
      <c r="B133" s="47" t="s">
        <v>172</v>
      </c>
      <c r="F133" s="52">
        <f>'Rates and GI'!D57*2</f>
        <v>300</v>
      </c>
    </row>
    <row r="134" spans="1:12" x14ac:dyDescent="0.25">
      <c r="B134" s="47" t="s">
        <v>178</v>
      </c>
      <c r="E134" s="68">
        <f>'Rates and GI'!$D$58</f>
        <v>0.05</v>
      </c>
      <c r="F134" s="68">
        <f>'Rates and GI'!$D$58</f>
        <v>0.05</v>
      </c>
      <c r="G134" s="68">
        <f>'Rates and GI'!$D$58</f>
        <v>0.05</v>
      </c>
      <c r="H134" s="68">
        <f>'Rates and GI'!$D$58</f>
        <v>0.05</v>
      </c>
    </row>
    <row r="135" spans="1:12" x14ac:dyDescent="0.25">
      <c r="B135" s="47" t="s">
        <v>179</v>
      </c>
      <c r="E135" s="52">
        <v>0</v>
      </c>
      <c r="F135" s="52">
        <f t="shared" ref="F135" si="31">500*10</f>
        <v>5000</v>
      </c>
      <c r="G135" s="52"/>
      <c r="H135" s="52"/>
    </row>
    <row r="136" spans="1:12" s="5" customFormat="1" x14ac:dyDescent="0.25">
      <c r="B136" s="47"/>
      <c r="D136" s="52"/>
      <c r="E136" s="52"/>
      <c r="F136" s="52"/>
      <c r="G136" s="44"/>
      <c r="H136" s="44"/>
      <c r="I136" s="6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2">F138*F139+F140*F141++F142*F143+F144*F145</f>
        <v>400</v>
      </c>
      <c r="G137" s="60">
        <f t="shared" si="32"/>
        <v>0</v>
      </c>
      <c r="H137" s="60">
        <f t="shared" si="32"/>
        <v>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x14ac:dyDescent="0.25">
      <c r="B142" s="71" t="s">
        <v>183</v>
      </c>
      <c r="E142" s="52">
        <v>0</v>
      </c>
      <c r="F142" s="52">
        <v>2</v>
      </c>
      <c r="G142" s="52">
        <v>0</v>
      </c>
      <c r="H142" s="52">
        <v>0</v>
      </c>
    </row>
    <row r="143" spans="1:12" ht="27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hidden="1" x14ac:dyDescent="0.25">
      <c r="B144" s="47" t="s">
        <v>354</v>
      </c>
      <c r="D144" s="52"/>
      <c r="E144" s="52">
        <v>0</v>
      </c>
      <c r="F144" s="52">
        <v>0</v>
      </c>
      <c r="G144" s="52">
        <v>0</v>
      </c>
      <c r="H144" s="52">
        <v>0</v>
      </c>
      <c r="I144" s="6"/>
      <c r="J144" s="6"/>
      <c r="K144" s="6"/>
      <c r="L144" s="6"/>
    </row>
    <row r="145" spans="1:12" s="5" customFormat="1" hidden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6" spans="1:12" x14ac:dyDescent="0.25">
      <c r="A146" s="58"/>
      <c r="B146" s="58"/>
      <c r="C146" s="58"/>
      <c r="D146" s="60"/>
      <c r="E146" s="60"/>
      <c r="F146" s="60"/>
      <c r="G146" s="60"/>
      <c r="H146" s="60"/>
    </row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3">F148+F151+F154+F163+F168</f>
        <v>0</v>
      </c>
      <c r="G147" s="60">
        <f t="shared" si="33"/>
        <v>0</v>
      </c>
      <c r="H147" s="60">
        <f t="shared" si="33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4">H149+H152*H153</f>
        <v>0</v>
      </c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5">F152*F153</f>
        <v>0</v>
      </c>
      <c r="G151" s="52">
        <f t="shared" si="35"/>
        <v>0</v>
      </c>
      <c r="H151" s="52">
        <f t="shared" si="35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6">F155+F159</f>
        <v>0</v>
      </c>
      <c r="G154" s="52">
        <f t="shared" si="36"/>
        <v>0</v>
      </c>
      <c r="H154" s="52">
        <f t="shared" si="36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7">F156*F157</f>
        <v>0</v>
      </c>
      <c r="G155" s="52">
        <f t="shared" si="37"/>
        <v>0</v>
      </c>
      <c r="H155" s="52">
        <f t="shared" si="37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38">F160*F161</f>
        <v>0</v>
      </c>
      <c r="G159" s="52">
        <f t="shared" si="38"/>
        <v>0</v>
      </c>
      <c r="H159" s="52">
        <f t="shared" si="38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2:8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2:8" hidden="1" x14ac:dyDescent="0.25">
      <c r="B162" s="6"/>
    </row>
    <row r="163" spans="2:8" hidden="1" x14ac:dyDescent="0.25">
      <c r="B163" s="5" t="s">
        <v>203</v>
      </c>
      <c r="E163" s="52">
        <f>E164*E165*E166</f>
        <v>0</v>
      </c>
      <c r="F163" s="52">
        <f t="shared" ref="F163:H163" si="39">F164*F165*F166</f>
        <v>0</v>
      </c>
      <c r="G163" s="52">
        <f t="shared" si="39"/>
        <v>0</v>
      </c>
      <c r="H163" s="52">
        <f t="shared" si="39"/>
        <v>0</v>
      </c>
    </row>
    <row r="164" spans="2:8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2:8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2:8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2:8" hidden="1" x14ac:dyDescent="0.25"/>
    <row r="168" spans="2:8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2:8" hidden="1" x14ac:dyDescent="0.25">
      <c r="B169" s="47" t="s">
        <v>172</v>
      </c>
      <c r="F169" s="52">
        <f>'Rates and GI'!D57*0</f>
        <v>0</v>
      </c>
    </row>
    <row r="170" spans="2:8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2:8" hidden="1" x14ac:dyDescent="0.25">
      <c r="B171" s="47" t="s">
        <v>179</v>
      </c>
      <c r="F171" s="52">
        <v>0</v>
      </c>
      <c r="G171" s="44">
        <v>0</v>
      </c>
    </row>
    <row r="172" spans="2:8" hidden="1" x14ac:dyDescent="0.25"/>
    <row r="173" spans="2:8" hidden="1" x14ac:dyDescent="0.25"/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67"/>
  <sheetViews>
    <sheetView zoomScaleNormal="100" workbookViewId="0">
      <pane xSplit="2" ySplit="3" topLeftCell="C4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36" customWidth="1"/>
    <col min="5" max="5" width="12.28515625" style="36" bestFit="1" customWidth="1"/>
    <col min="6" max="6" width="11.5703125" style="36" bestFit="1" customWidth="1"/>
    <col min="7" max="7" width="12.140625" style="29" bestFit="1" customWidth="1"/>
    <col min="8" max="8" width="11.85546875" style="29" bestFit="1" customWidth="1"/>
    <col min="9" max="9" width="9.140625" style="6"/>
    <col min="10" max="10" width="12.5703125" style="6" bestFit="1" customWidth="1"/>
    <col min="11" max="16384" width="9.140625" style="6"/>
  </cols>
  <sheetData>
    <row r="1" spans="1:12" s="140" customFormat="1" ht="34.5" x14ac:dyDescent="0.3">
      <c r="A1" s="227">
        <v>2</v>
      </c>
      <c r="B1" s="228" t="s">
        <v>428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4" t="s">
        <v>232</v>
      </c>
      <c r="D5" s="52">
        <f>SUBTOTAL(9,D6:D7)</f>
        <v>7462.1358900000014</v>
      </c>
      <c r="E5" s="52">
        <f>SUBTOTAL(9,E6:E7)</f>
        <v>4904.4600000000009</v>
      </c>
      <c r="F5" s="52">
        <f t="shared" ref="F5:H5" si="0">SUBTOTAL(9,F6:F7)</f>
        <v>2557.67589</v>
      </c>
      <c r="G5" s="52">
        <f t="shared" si="0"/>
        <v>0</v>
      </c>
      <c r="H5" s="52">
        <f t="shared" si="0"/>
        <v>0</v>
      </c>
      <c r="I5" s="70"/>
    </row>
    <row r="6" spans="1:12" x14ac:dyDescent="0.25">
      <c r="B6" s="17" t="s">
        <v>23</v>
      </c>
      <c r="D6" s="52">
        <f t="shared" ref="D6:D15" si="1">SUM(E6:H6)</f>
        <v>0</v>
      </c>
      <c r="E6" s="52">
        <f>E73</f>
        <v>0</v>
      </c>
      <c r="F6" s="52">
        <f t="shared" ref="F6:H6" si="2">F73</f>
        <v>0</v>
      </c>
      <c r="G6" s="52">
        <f t="shared" si="2"/>
        <v>0</v>
      </c>
      <c r="H6" s="52">
        <f t="shared" si="2"/>
        <v>0</v>
      </c>
      <c r="I6" s="70"/>
    </row>
    <row r="7" spans="1:12" x14ac:dyDescent="0.25">
      <c r="B7" s="17" t="s">
        <v>191</v>
      </c>
      <c r="D7" s="52">
        <f t="shared" si="1"/>
        <v>7462.1358900000014</v>
      </c>
      <c r="E7" s="52">
        <f>E77</f>
        <v>4904.4600000000009</v>
      </c>
      <c r="F7" s="52">
        <f t="shared" ref="F7:H7" si="3">F77</f>
        <v>2557.67589</v>
      </c>
      <c r="G7" s="52">
        <f t="shared" si="3"/>
        <v>0</v>
      </c>
      <c r="H7" s="52">
        <f t="shared" si="3"/>
        <v>0</v>
      </c>
      <c r="I7" s="70"/>
    </row>
    <row r="8" spans="1:12" x14ac:dyDescent="0.25">
      <c r="B8" s="14" t="s">
        <v>233</v>
      </c>
      <c r="D8" s="52">
        <f>SUBTOTAL(9,D9:D15)</f>
        <v>1733310</v>
      </c>
      <c r="E8" s="52">
        <f>SUBTOTAL(9,E9:E15)</f>
        <v>0</v>
      </c>
      <c r="F8" s="52">
        <f t="shared" ref="F8:H8" si="4">SUBTOTAL(9,F9:F15)</f>
        <v>0</v>
      </c>
      <c r="G8" s="52">
        <f t="shared" si="4"/>
        <v>585060</v>
      </c>
      <c r="H8" s="52">
        <f t="shared" si="4"/>
        <v>1148250</v>
      </c>
      <c r="I8" s="70"/>
    </row>
    <row r="9" spans="1:12" x14ac:dyDescent="0.25">
      <c r="B9" s="17" t="s">
        <v>225</v>
      </c>
      <c r="D9" s="52">
        <f t="shared" si="1"/>
        <v>55680</v>
      </c>
      <c r="E9" s="52">
        <f>E85</f>
        <v>0</v>
      </c>
      <c r="F9" s="52">
        <f t="shared" ref="F9:H9" si="5">F85</f>
        <v>0</v>
      </c>
      <c r="G9" s="52">
        <f>G85</f>
        <v>26880</v>
      </c>
      <c r="H9" s="52">
        <f t="shared" si="5"/>
        <v>28800</v>
      </c>
      <c r="I9" s="70"/>
    </row>
    <row r="10" spans="1:12" x14ac:dyDescent="0.25">
      <c r="B10" s="17" t="s">
        <v>289</v>
      </c>
      <c r="D10" s="52">
        <f t="shared" si="1"/>
        <v>132000</v>
      </c>
      <c r="E10" s="52">
        <f>E93</f>
        <v>0</v>
      </c>
      <c r="F10" s="52">
        <f t="shared" ref="F10:H10" si="6">F93</f>
        <v>0</v>
      </c>
      <c r="G10" s="52">
        <f t="shared" si="6"/>
        <v>66000</v>
      </c>
      <c r="H10" s="52">
        <f t="shared" si="6"/>
        <v>66000</v>
      </c>
      <c r="I10" s="70"/>
    </row>
    <row r="11" spans="1:12" x14ac:dyDescent="0.25">
      <c r="B11" s="17" t="s">
        <v>285</v>
      </c>
      <c r="D11" s="52">
        <f t="shared" si="1"/>
        <v>540000</v>
      </c>
      <c r="E11" s="52">
        <f>E100</f>
        <v>0</v>
      </c>
      <c r="F11" s="52">
        <f t="shared" ref="F11:H11" si="7">F100</f>
        <v>0</v>
      </c>
      <c r="G11" s="52">
        <f t="shared" si="7"/>
        <v>180000</v>
      </c>
      <c r="H11" s="52">
        <f t="shared" si="7"/>
        <v>360000</v>
      </c>
      <c r="I11" s="70"/>
    </row>
    <row r="12" spans="1:12" x14ac:dyDescent="0.25">
      <c r="B12" s="17" t="s">
        <v>286</v>
      </c>
      <c r="D12" s="52">
        <f t="shared" si="1"/>
        <v>648000</v>
      </c>
      <c r="E12" s="52">
        <f>E105</f>
        <v>0</v>
      </c>
      <c r="F12" s="52">
        <f t="shared" ref="F12:H12" si="8">F105</f>
        <v>0</v>
      </c>
      <c r="G12" s="52">
        <f t="shared" si="8"/>
        <v>216000</v>
      </c>
      <c r="H12" s="52">
        <f t="shared" si="8"/>
        <v>432000</v>
      </c>
      <c r="I12" s="70"/>
    </row>
    <row r="13" spans="1:12" x14ac:dyDescent="0.25">
      <c r="B13" s="17" t="s">
        <v>290</v>
      </c>
      <c r="D13" s="52">
        <f t="shared" si="1"/>
        <v>163680</v>
      </c>
      <c r="E13" s="52">
        <f>E110</f>
        <v>0</v>
      </c>
      <c r="F13" s="52">
        <f t="shared" ref="F13:H13" si="9">F110</f>
        <v>0</v>
      </c>
      <c r="G13" s="52">
        <f t="shared" si="9"/>
        <v>52080</v>
      </c>
      <c r="H13" s="52">
        <f t="shared" si="9"/>
        <v>111600</v>
      </c>
      <c r="I13" s="70"/>
    </row>
    <row r="14" spans="1:12" x14ac:dyDescent="0.25">
      <c r="B14" s="17" t="s">
        <v>229</v>
      </c>
      <c r="D14" s="52">
        <f t="shared" si="1"/>
        <v>91350</v>
      </c>
      <c r="E14" s="52">
        <f>E122</f>
        <v>0</v>
      </c>
      <c r="F14" s="52">
        <f t="shared" ref="F14:H14" si="10">F122</f>
        <v>0</v>
      </c>
      <c r="G14" s="52">
        <f t="shared" si="10"/>
        <v>44100</v>
      </c>
      <c r="H14" s="52">
        <f t="shared" si="10"/>
        <v>47250</v>
      </c>
      <c r="I14" s="70"/>
    </row>
    <row r="15" spans="1:12" x14ac:dyDescent="0.25">
      <c r="B15" s="17" t="s">
        <v>299</v>
      </c>
      <c r="D15" s="52">
        <f t="shared" si="1"/>
        <v>102600</v>
      </c>
      <c r="E15" s="52">
        <f>E134</f>
        <v>0</v>
      </c>
      <c r="F15" s="52">
        <f t="shared" ref="F15:H15" si="11">F134</f>
        <v>0</v>
      </c>
      <c r="G15" s="52">
        <f t="shared" si="11"/>
        <v>0</v>
      </c>
      <c r="H15" s="52">
        <f t="shared" si="11"/>
        <v>102600</v>
      </c>
      <c r="I15" s="70"/>
    </row>
    <row r="16" spans="1:12" ht="14.25" thickBot="1" x14ac:dyDescent="0.3">
      <c r="A16" s="13"/>
      <c r="B16" s="13" t="s">
        <v>5</v>
      </c>
      <c r="C16" s="13"/>
      <c r="D16" s="55">
        <f>SUBTOTAL(9,D5:D15)</f>
        <v>1740772.13589</v>
      </c>
      <c r="E16" s="55">
        <f t="shared" ref="E16:H16" si="12">SUBTOTAL(9,E5:E15)</f>
        <v>4904.4600000000009</v>
      </c>
      <c r="F16" s="55">
        <f t="shared" si="12"/>
        <v>2557.67589</v>
      </c>
      <c r="G16" s="55">
        <f t="shared" si="12"/>
        <v>585060</v>
      </c>
      <c r="H16" s="55">
        <f t="shared" si="12"/>
        <v>1148250</v>
      </c>
      <c r="I16" s="70"/>
    </row>
    <row r="17" spans="1:12" ht="7.5" customHeight="1" x14ac:dyDescent="0.25">
      <c r="I17" s="70"/>
    </row>
    <row r="18" spans="1:12" x14ac:dyDescent="0.25">
      <c r="A18" s="16"/>
      <c r="B18" s="16" t="s">
        <v>11</v>
      </c>
      <c r="C18" s="16"/>
      <c r="D18" s="34"/>
      <c r="E18" s="34"/>
      <c r="F18" s="34"/>
      <c r="G18" s="35"/>
      <c r="H18" s="35"/>
      <c r="I18" s="69"/>
      <c r="J18" s="12"/>
      <c r="K18" s="12"/>
      <c r="L18" s="12"/>
    </row>
    <row r="19" spans="1:12" x14ac:dyDescent="0.25">
      <c r="B19" s="17" t="s">
        <v>10</v>
      </c>
      <c r="D19" s="52">
        <f t="shared" ref="D19:D20" si="13">SUM(E19:H19)</f>
        <v>20698.239011666668</v>
      </c>
      <c r="E19" s="52">
        <f>E145</f>
        <v>0</v>
      </c>
      <c r="F19" s="52">
        <f t="shared" ref="F19:H19" si="14">F145</f>
        <v>1823.3222366666669</v>
      </c>
      <c r="G19" s="52">
        <f t="shared" si="14"/>
        <v>7158.3055916666672</v>
      </c>
      <c r="H19" s="52">
        <f t="shared" si="14"/>
        <v>11716.611183333334</v>
      </c>
      <c r="I19" s="70"/>
    </row>
    <row r="20" spans="1:12" x14ac:dyDescent="0.25">
      <c r="B20" s="17" t="s">
        <v>130</v>
      </c>
      <c r="D20" s="52">
        <f t="shared" si="13"/>
        <v>173331</v>
      </c>
      <c r="E20" s="52">
        <f>(E16-E6-E7)*'Rates and GI'!$E$19</f>
        <v>0</v>
      </c>
      <c r="F20" s="52">
        <f>(F16-F6-F7)*'Rates and GI'!$E$19</f>
        <v>0</v>
      </c>
      <c r="G20" s="52">
        <f>(G16-G6-G7)*'Rates and GI'!$E$19</f>
        <v>58506</v>
      </c>
      <c r="H20" s="52">
        <f>(H16-H6-H7)*'Rates and GI'!$E$19</f>
        <v>114825</v>
      </c>
      <c r="I20" s="70"/>
    </row>
    <row r="21" spans="1:12" ht="14.25" thickBot="1" x14ac:dyDescent="0.3">
      <c r="A21" s="13"/>
      <c r="B21" s="13" t="s">
        <v>68</v>
      </c>
      <c r="C21" s="13"/>
      <c r="D21" s="55">
        <f>SUBTOTAL(9,D19:D20)</f>
        <v>194029.23901166668</v>
      </c>
      <c r="E21" s="55">
        <f>SUBTOTAL(9,E19:E20)</f>
        <v>0</v>
      </c>
      <c r="F21" s="55">
        <f t="shared" ref="F21:H21" si="15">SUBTOTAL(9,F19:F20)</f>
        <v>1823.3222366666669</v>
      </c>
      <c r="G21" s="55">
        <f t="shared" si="15"/>
        <v>65664.305591666664</v>
      </c>
      <c r="H21" s="55">
        <f t="shared" si="15"/>
        <v>126541.61118333333</v>
      </c>
      <c r="I21" s="70"/>
    </row>
    <row r="22" spans="1:12" ht="4.5" customHeight="1" x14ac:dyDescent="0.25">
      <c r="I22" s="70"/>
    </row>
    <row r="23" spans="1:12" x14ac:dyDescent="0.25">
      <c r="A23" s="16"/>
      <c r="B23" s="16" t="s">
        <v>12</v>
      </c>
      <c r="C23" s="16"/>
      <c r="D23" s="34"/>
      <c r="E23" s="34"/>
      <c r="F23" s="34"/>
      <c r="G23" s="35"/>
      <c r="H23" s="35"/>
      <c r="I23" s="69"/>
      <c r="J23" s="12"/>
      <c r="K23" s="12"/>
      <c r="L23" s="12"/>
    </row>
    <row r="24" spans="1:12" x14ac:dyDescent="0.25">
      <c r="B24" s="17" t="s">
        <v>192</v>
      </c>
      <c r="D24" s="52">
        <f t="shared" ref="D24:D25" si="16">SUM(E24:H24)</f>
        <v>743.12691355000004</v>
      </c>
      <c r="E24" s="52">
        <f>E153</f>
        <v>0</v>
      </c>
      <c r="F24" s="52">
        <f t="shared" ref="F24:H24" si="17">F153</f>
        <v>743.12691355000004</v>
      </c>
      <c r="G24" s="52">
        <f t="shared" si="17"/>
        <v>0</v>
      </c>
      <c r="H24" s="52">
        <f t="shared" si="17"/>
        <v>0</v>
      </c>
      <c r="I24" s="70"/>
    </row>
    <row r="25" spans="1:12" x14ac:dyDescent="0.25">
      <c r="B25" s="17" t="s">
        <v>73</v>
      </c>
      <c r="D25" s="52">
        <f t="shared" si="16"/>
        <v>1947.548983875</v>
      </c>
      <c r="E25" s="52">
        <f>E156</f>
        <v>0</v>
      </c>
      <c r="F25" s="52">
        <f t="shared" ref="F25:H25" si="18">F156</f>
        <v>0</v>
      </c>
      <c r="G25" s="52">
        <f t="shared" si="18"/>
        <v>962.37872795833334</v>
      </c>
      <c r="H25" s="52">
        <f t="shared" si="18"/>
        <v>985.17025591666663</v>
      </c>
      <c r="I25" s="70"/>
    </row>
    <row r="26" spans="1:12" ht="14.25" thickBot="1" x14ac:dyDescent="0.3">
      <c r="A26" s="13"/>
      <c r="B26" s="13" t="s">
        <v>76</v>
      </c>
      <c r="C26" s="13"/>
      <c r="D26" s="55">
        <f>SUBTOTAL(9,D24:D25)</f>
        <v>2690.6758974250001</v>
      </c>
      <c r="E26" s="55">
        <f t="shared" ref="E26:H26" si="19">SUBTOTAL(9,E24:E25)</f>
        <v>0</v>
      </c>
      <c r="F26" s="55">
        <f t="shared" si="19"/>
        <v>743.12691355000004</v>
      </c>
      <c r="G26" s="55">
        <f t="shared" si="19"/>
        <v>962.37872795833334</v>
      </c>
      <c r="H26" s="55">
        <f t="shared" si="19"/>
        <v>985.17025591666663</v>
      </c>
      <c r="I26" s="70"/>
    </row>
    <row r="27" spans="1:12" ht="7.5" customHeight="1" x14ac:dyDescent="0.25">
      <c r="I27" s="70"/>
    </row>
    <row r="28" spans="1:12" x14ac:dyDescent="0.25">
      <c r="A28" s="16"/>
      <c r="B28" s="16" t="s">
        <v>156</v>
      </c>
      <c r="C28" s="16"/>
      <c r="D28" s="34"/>
      <c r="E28" s="34"/>
      <c r="F28" s="34"/>
      <c r="G28" s="35"/>
      <c r="H28" s="35"/>
      <c r="I28" s="12"/>
      <c r="J28" s="12"/>
      <c r="K28" s="12"/>
      <c r="L28" s="12"/>
    </row>
    <row r="29" spans="1:12" x14ac:dyDescent="0.25">
      <c r="B29" s="17" t="s">
        <v>148</v>
      </c>
      <c r="D29" s="52">
        <f t="shared" ref="D29" si="20">SUM(E29:H29)</f>
        <v>13653.928</v>
      </c>
      <c r="E29" s="52">
        <f>E158</f>
        <v>0</v>
      </c>
      <c r="F29" s="52">
        <f t="shared" ref="F29:H29" si="21">F158</f>
        <v>163.48200000000003</v>
      </c>
      <c r="G29" s="52">
        <f t="shared" si="21"/>
        <v>4076.9639999999999</v>
      </c>
      <c r="H29" s="52">
        <f t="shared" si="21"/>
        <v>9413.482</v>
      </c>
    </row>
    <row r="30" spans="1:12" x14ac:dyDescent="0.25">
      <c r="B30" s="17" t="s">
        <v>157</v>
      </c>
      <c r="D30" s="52">
        <f t="shared" ref="D30" si="22">SUM(E30:H30)</f>
        <v>0</v>
      </c>
      <c r="E30" s="52"/>
      <c r="F30" s="52"/>
      <c r="G30" s="44"/>
      <c r="H30" s="44"/>
    </row>
    <row r="31" spans="1:12" ht="14.25" thickBot="1" x14ac:dyDescent="0.3">
      <c r="A31" s="13"/>
      <c r="B31" s="13" t="s">
        <v>158</v>
      </c>
      <c r="C31" s="13"/>
      <c r="D31" s="55">
        <f>SUBTOTAL(9,D29:D30)</f>
        <v>13653.928</v>
      </c>
      <c r="E31" s="55">
        <f t="shared" ref="E31:H31" si="23">SUBTOTAL(9,E29:E30)</f>
        <v>0</v>
      </c>
      <c r="F31" s="55">
        <f t="shared" si="23"/>
        <v>163.48200000000003</v>
      </c>
      <c r="G31" s="55">
        <f t="shared" si="23"/>
        <v>4076.9639999999999</v>
      </c>
      <c r="H31" s="55">
        <f t="shared" si="23"/>
        <v>9413.482</v>
      </c>
    </row>
    <row r="32" spans="1:12" ht="6" customHeight="1" x14ac:dyDescent="0.25"/>
    <row r="33" spans="1:12" x14ac:dyDescent="0.25">
      <c r="A33" s="16"/>
      <c r="B33" s="16" t="s">
        <v>74</v>
      </c>
      <c r="C33" s="16"/>
      <c r="D33" s="34"/>
      <c r="E33" s="34"/>
      <c r="F33" s="34"/>
      <c r="G33" s="35"/>
      <c r="H33" s="35"/>
      <c r="I33" s="12"/>
      <c r="J33" s="12"/>
      <c r="K33" s="12"/>
      <c r="L33" s="12"/>
    </row>
    <row r="34" spans="1:12" x14ac:dyDescent="0.25">
      <c r="B34" s="17" t="s">
        <v>24</v>
      </c>
      <c r="D34" s="52">
        <f>SUM(E34:H34)</f>
        <v>607.74</v>
      </c>
      <c r="E34" s="52">
        <f>E169</f>
        <v>420</v>
      </c>
      <c r="F34" s="52">
        <f t="shared" ref="F34:H34" si="24">F169</f>
        <v>187.73999999999998</v>
      </c>
      <c r="G34" s="52">
        <f t="shared" si="24"/>
        <v>0</v>
      </c>
      <c r="H34" s="52">
        <f t="shared" si="24"/>
        <v>0</v>
      </c>
    </row>
    <row r="35" spans="1:12" x14ac:dyDescent="0.25">
      <c r="B35" s="17" t="s">
        <v>25</v>
      </c>
      <c r="D35" s="52">
        <f t="shared" ref="D35:D36" si="25">SUM(E35:H35)</f>
        <v>0</v>
      </c>
      <c r="E35" s="52">
        <f>E211</f>
        <v>0</v>
      </c>
      <c r="F35" s="52">
        <f>F211</f>
        <v>0</v>
      </c>
      <c r="G35" s="52">
        <f>G211</f>
        <v>0</v>
      </c>
      <c r="H35" s="52">
        <f>H211</f>
        <v>0</v>
      </c>
    </row>
    <row r="36" spans="1:12" x14ac:dyDescent="0.25">
      <c r="B36" s="17" t="s">
        <v>432</v>
      </c>
      <c r="D36" s="52">
        <f t="shared" si="25"/>
        <v>0</v>
      </c>
      <c r="E36" s="52"/>
      <c r="F36" s="52"/>
      <c r="G36" s="44"/>
      <c r="H36" s="44"/>
    </row>
    <row r="37" spans="1:12" ht="14.25" thickBot="1" x14ac:dyDescent="0.3">
      <c r="A37" s="13"/>
      <c r="B37" s="13" t="s">
        <v>75</v>
      </c>
      <c r="C37" s="13"/>
      <c r="D37" s="55">
        <f>SUBTOTAL(9,D34:D36)</f>
        <v>607.74</v>
      </c>
      <c r="E37" s="55">
        <f t="shared" ref="E37:H37" si="26">SUBTOTAL(9,E34:E36)</f>
        <v>420</v>
      </c>
      <c r="F37" s="55">
        <f t="shared" si="26"/>
        <v>187.73999999999998</v>
      </c>
      <c r="G37" s="55">
        <f t="shared" si="26"/>
        <v>0</v>
      </c>
      <c r="H37" s="55">
        <f t="shared" si="26"/>
        <v>0</v>
      </c>
    </row>
    <row r="38" spans="1:12" ht="6.75" customHeight="1" x14ac:dyDescent="0.25"/>
    <row r="39" spans="1:12" x14ac:dyDescent="0.25">
      <c r="A39" s="16"/>
      <c r="B39" s="16" t="s">
        <v>7</v>
      </c>
      <c r="C39" s="16"/>
      <c r="D39" s="34"/>
      <c r="E39" s="34"/>
      <c r="F39" s="34"/>
      <c r="G39" s="35"/>
      <c r="H39" s="35"/>
      <c r="I39" s="12"/>
      <c r="J39" s="12"/>
      <c r="K39" s="12"/>
      <c r="L39" s="12"/>
    </row>
    <row r="40" spans="1:12" x14ac:dyDescent="0.25">
      <c r="B40" s="17" t="s">
        <v>58</v>
      </c>
      <c r="D40" s="52">
        <f t="shared" ref="D40:D44" si="27">SUM(E40:H40)</f>
        <v>1230098.9090909089</v>
      </c>
      <c r="E40" s="52">
        <f>E174</f>
        <v>0</v>
      </c>
      <c r="F40" s="52">
        <f t="shared" ref="F40:H40" si="28">F174</f>
        <v>0</v>
      </c>
      <c r="G40" s="52">
        <f t="shared" si="28"/>
        <v>766989.23636363621</v>
      </c>
      <c r="H40" s="52">
        <f t="shared" si="28"/>
        <v>463109.67272727267</v>
      </c>
      <c r="J40" s="111"/>
    </row>
    <row r="41" spans="1:12" x14ac:dyDescent="0.25">
      <c r="B41" s="17" t="s">
        <v>26</v>
      </c>
      <c r="D41" s="52">
        <f t="shared" si="27"/>
        <v>157000</v>
      </c>
      <c r="E41" s="52">
        <f>E180</f>
        <v>0</v>
      </c>
      <c r="F41" s="52">
        <f t="shared" ref="F41:H41" si="29">F180</f>
        <v>0</v>
      </c>
      <c r="G41" s="52">
        <f t="shared" si="29"/>
        <v>73000</v>
      </c>
      <c r="H41" s="52">
        <f t="shared" si="29"/>
        <v>84000</v>
      </c>
    </row>
    <row r="42" spans="1:12" x14ac:dyDescent="0.25">
      <c r="B42" s="17" t="s">
        <v>8</v>
      </c>
      <c r="D42" s="52">
        <f t="shared" si="27"/>
        <v>78500</v>
      </c>
      <c r="E42" s="52">
        <f>E195</f>
        <v>0</v>
      </c>
      <c r="F42" s="52">
        <f t="shared" ref="F42:H42" si="30">F195</f>
        <v>0</v>
      </c>
      <c r="G42" s="52">
        <f t="shared" si="30"/>
        <v>36500</v>
      </c>
      <c r="H42" s="52">
        <f t="shared" si="30"/>
        <v>42000</v>
      </c>
    </row>
    <row r="43" spans="1:12" x14ac:dyDescent="0.25">
      <c r="B43" s="17" t="s">
        <v>318</v>
      </c>
      <c r="D43" s="52">
        <f t="shared" si="27"/>
        <v>153600</v>
      </c>
      <c r="E43" s="52">
        <f>E199</f>
        <v>0</v>
      </c>
      <c r="F43" s="52">
        <f t="shared" ref="F43:H43" si="31">F199</f>
        <v>0</v>
      </c>
      <c r="G43" s="52">
        <f t="shared" si="31"/>
        <v>153600</v>
      </c>
      <c r="H43" s="52">
        <f t="shared" si="31"/>
        <v>0</v>
      </c>
    </row>
    <row r="44" spans="1:12" x14ac:dyDescent="0.25">
      <c r="B44" s="17" t="s">
        <v>9</v>
      </c>
      <c r="D44" s="52">
        <f t="shared" si="27"/>
        <v>0</v>
      </c>
      <c r="E44" s="52"/>
      <c r="F44" s="52"/>
      <c r="G44" s="44"/>
      <c r="H44" s="44"/>
    </row>
    <row r="45" spans="1:12" ht="14.25" thickBot="1" x14ac:dyDescent="0.3">
      <c r="A45" s="13"/>
      <c r="B45" s="13" t="s">
        <v>69</v>
      </c>
      <c r="C45" s="13"/>
      <c r="D45" s="55">
        <f>SUBTOTAL(9,D40:D44)</f>
        <v>1619198.9090909089</v>
      </c>
      <c r="E45" s="55">
        <f t="shared" ref="E45:H45" si="32">SUBTOTAL(9,E40:E44)</f>
        <v>0</v>
      </c>
      <c r="F45" s="55">
        <f t="shared" si="32"/>
        <v>0</v>
      </c>
      <c r="G45" s="55">
        <f>SUBTOTAL(9,G40:G44)</f>
        <v>1030089.2363636362</v>
      </c>
      <c r="H45" s="55">
        <f t="shared" si="32"/>
        <v>589109.67272727261</v>
      </c>
    </row>
    <row r="46" spans="1:12" ht="6" customHeight="1" x14ac:dyDescent="0.25"/>
    <row r="47" spans="1:12" x14ac:dyDescent="0.25">
      <c r="A47" s="16"/>
      <c r="B47" s="16" t="s">
        <v>16</v>
      </c>
      <c r="C47" s="16"/>
      <c r="D47" s="34"/>
      <c r="E47" s="34"/>
      <c r="F47" s="34"/>
      <c r="G47" s="35"/>
      <c r="H47" s="35"/>
      <c r="I47" s="12"/>
      <c r="J47" s="12"/>
      <c r="K47" s="12"/>
      <c r="L47" s="12"/>
    </row>
    <row r="48" spans="1:12" x14ac:dyDescent="0.25">
      <c r="A48" s="2"/>
      <c r="B48" s="2" t="s">
        <v>244</v>
      </c>
      <c r="C48" s="2"/>
      <c r="D48" s="52">
        <f t="shared" ref="D48:D52" si="33">SUM(E48:H48)</f>
        <v>176762.88</v>
      </c>
      <c r="E48" s="52">
        <f>E220</f>
        <v>0</v>
      </c>
      <c r="F48" s="52">
        <f t="shared" ref="F48:H51" si="34">F220</f>
        <v>0</v>
      </c>
      <c r="G48" s="52">
        <f t="shared" si="34"/>
        <v>88381.440000000002</v>
      </c>
      <c r="H48" s="52">
        <f t="shared" si="34"/>
        <v>88381.440000000002</v>
      </c>
    </row>
    <row r="49" spans="1:12" x14ac:dyDescent="0.25">
      <c r="A49" s="2"/>
      <c r="B49" s="2" t="s">
        <v>18</v>
      </c>
      <c r="C49" s="2"/>
      <c r="D49" s="52">
        <f t="shared" si="33"/>
        <v>41428.800000000003</v>
      </c>
      <c r="E49" s="52">
        <f>E221</f>
        <v>0</v>
      </c>
      <c r="F49" s="52">
        <f t="shared" si="34"/>
        <v>0</v>
      </c>
      <c r="G49" s="52">
        <f t="shared" si="34"/>
        <v>20714.400000000001</v>
      </c>
      <c r="H49" s="52">
        <f t="shared" si="34"/>
        <v>20714.400000000001</v>
      </c>
    </row>
    <row r="50" spans="1:12" x14ac:dyDescent="0.25">
      <c r="A50" s="2"/>
      <c r="B50" s="2" t="s">
        <v>19</v>
      </c>
      <c r="C50" s="2"/>
      <c r="D50" s="52">
        <f t="shared" si="33"/>
        <v>34524</v>
      </c>
      <c r="E50" s="52">
        <f>E222</f>
        <v>0</v>
      </c>
      <c r="F50" s="52">
        <f t="shared" si="34"/>
        <v>0</v>
      </c>
      <c r="G50" s="52">
        <f t="shared" si="34"/>
        <v>17262</v>
      </c>
      <c r="H50" s="52">
        <f t="shared" si="34"/>
        <v>17262</v>
      </c>
    </row>
    <row r="51" spans="1:12" x14ac:dyDescent="0.25">
      <c r="A51" s="2"/>
      <c r="B51" s="2" t="s">
        <v>22</v>
      </c>
      <c r="C51" s="2"/>
      <c r="D51" s="52">
        <f t="shared" si="33"/>
        <v>27619.199999999997</v>
      </c>
      <c r="E51" s="52">
        <f>E223</f>
        <v>0</v>
      </c>
      <c r="F51" s="52">
        <f t="shared" si="34"/>
        <v>0</v>
      </c>
      <c r="G51" s="52">
        <f t="shared" si="34"/>
        <v>13809.599999999999</v>
      </c>
      <c r="H51" s="52">
        <f t="shared" si="34"/>
        <v>13809.599999999999</v>
      </c>
    </row>
    <row r="52" spans="1:12" x14ac:dyDescent="0.25">
      <c r="A52" s="3"/>
      <c r="B52" s="3" t="s">
        <v>13</v>
      </c>
      <c r="C52" s="3"/>
      <c r="D52" s="52">
        <f t="shared" si="33"/>
        <v>90000</v>
      </c>
      <c r="E52" s="52">
        <f>E225</f>
        <v>0</v>
      </c>
      <c r="F52" s="52">
        <f t="shared" ref="F52:H52" si="35">F225</f>
        <v>0</v>
      </c>
      <c r="G52" s="52">
        <f t="shared" si="35"/>
        <v>45000</v>
      </c>
      <c r="H52" s="52">
        <f t="shared" si="35"/>
        <v>45000</v>
      </c>
    </row>
    <row r="53" spans="1:12" ht="14.25" thickBot="1" x14ac:dyDescent="0.3">
      <c r="A53" s="13"/>
      <c r="B53" s="13" t="s">
        <v>70</v>
      </c>
      <c r="C53" s="13"/>
      <c r="D53" s="55">
        <f>SUBTOTAL(9,D48:D52)</f>
        <v>370334.88</v>
      </c>
      <c r="E53" s="55">
        <f>SUBTOTAL(9,E48:E52)</f>
        <v>0</v>
      </c>
      <c r="F53" s="55">
        <f>SUBTOTAL(9,F48:F52)</f>
        <v>0</v>
      </c>
      <c r="G53" s="55">
        <f>SUBTOTAL(9,G48:G52)</f>
        <v>185167.44</v>
      </c>
      <c r="H53" s="55">
        <f>SUBTOTAL(9,H48:H52)</f>
        <v>185167.44</v>
      </c>
    </row>
    <row r="54" spans="1:12" ht="7.5" customHeight="1" x14ac:dyDescent="0.25">
      <c r="A54" s="3"/>
      <c r="B54" s="6"/>
      <c r="C54" s="3"/>
      <c r="D54" s="52"/>
      <c r="E54" s="52"/>
      <c r="F54" s="52"/>
      <c r="G54" s="44"/>
      <c r="H54" s="44"/>
    </row>
    <row r="55" spans="1:12" x14ac:dyDescent="0.25">
      <c r="A55" s="16"/>
      <c r="B55" s="16" t="s">
        <v>20</v>
      </c>
      <c r="C55" s="16"/>
      <c r="D55" s="61"/>
      <c r="E55" s="61"/>
      <c r="F55" s="61"/>
      <c r="G55" s="62"/>
      <c r="H55" s="62"/>
      <c r="I55" s="12"/>
      <c r="J55" s="12"/>
      <c r="K55" s="12"/>
      <c r="L55" s="12"/>
    </row>
    <row r="56" spans="1:12" x14ac:dyDescent="0.25">
      <c r="A56" s="3"/>
      <c r="B56" s="3" t="s">
        <v>218</v>
      </c>
      <c r="C56" s="3"/>
      <c r="D56" s="52">
        <f t="shared" ref="D56:D57" si="36">SUM(E56:H56)</f>
        <v>0</v>
      </c>
      <c r="E56" s="52">
        <f>E243</f>
        <v>0</v>
      </c>
      <c r="F56" s="52">
        <f t="shared" ref="F56:H56" si="37">F243</f>
        <v>0</v>
      </c>
      <c r="G56" s="52">
        <f t="shared" si="37"/>
        <v>0</v>
      </c>
      <c r="H56" s="52">
        <f t="shared" si="37"/>
        <v>0</v>
      </c>
    </row>
    <row r="57" spans="1:12" x14ac:dyDescent="0.25">
      <c r="A57" s="3"/>
      <c r="B57" s="3" t="s">
        <v>21</v>
      </c>
      <c r="C57" s="3"/>
      <c r="D57" s="52">
        <f t="shared" si="36"/>
        <v>450</v>
      </c>
      <c r="E57" s="52">
        <f>E233</f>
        <v>0</v>
      </c>
      <c r="F57" s="52">
        <f t="shared" ref="F57:H57" si="38">F233</f>
        <v>150</v>
      </c>
      <c r="G57" s="52">
        <f t="shared" si="38"/>
        <v>150</v>
      </c>
      <c r="H57" s="52">
        <f t="shared" si="38"/>
        <v>150</v>
      </c>
    </row>
    <row r="58" spans="1:12" ht="14.25" thickBot="1" x14ac:dyDescent="0.3">
      <c r="A58" s="13"/>
      <c r="B58" s="13" t="s">
        <v>71</v>
      </c>
      <c r="C58" s="13"/>
      <c r="D58" s="55">
        <f>SUBTOTAL(9,D56:D57)</f>
        <v>450</v>
      </c>
      <c r="E58" s="55">
        <f>SUBTOTAL(9,E56:E57)</f>
        <v>0</v>
      </c>
      <c r="F58" s="55">
        <f>SUBTOTAL(9,F56:F57)</f>
        <v>150</v>
      </c>
      <c r="G58" s="55">
        <f>SUBTOTAL(9,G56:G57)</f>
        <v>150</v>
      </c>
      <c r="H58" s="55">
        <f>SUBTOTAL(9,H56:H57)</f>
        <v>150</v>
      </c>
    </row>
    <row r="59" spans="1:12" ht="8.25" customHeight="1" x14ac:dyDescent="0.25">
      <c r="A59" s="1"/>
      <c r="B59" s="1"/>
      <c r="C59" s="1"/>
    </row>
    <row r="60" spans="1:12" ht="14.25" thickBot="1" x14ac:dyDescent="0.3">
      <c r="A60" s="56"/>
      <c r="B60" s="56" t="s">
        <v>160</v>
      </c>
      <c r="C60" s="56"/>
      <c r="D60" s="57">
        <f>SUBTOTAL(9,D6:D58)</f>
        <v>3941737.5078900009</v>
      </c>
      <c r="E60" s="57">
        <f>SUBTOTAL(9,E6:E58)</f>
        <v>5324.4600000000009</v>
      </c>
      <c r="F60" s="57">
        <f>SUBTOTAL(9,F6:F58)</f>
        <v>5625.3470402166668</v>
      </c>
      <c r="G60" s="57">
        <f>SUBTOTAL(9,G6:G58)</f>
        <v>1871170.3246832611</v>
      </c>
      <c r="H60" s="57">
        <f>SUBTOTAL(9,H6:H58)</f>
        <v>2059617.3761665227</v>
      </c>
    </row>
    <row r="61" spans="1:12" ht="14.25" thickBot="1" x14ac:dyDescent="0.3">
      <c r="A61" s="1"/>
      <c r="B61" s="1"/>
      <c r="C61" s="1"/>
    </row>
    <row r="62" spans="1:12" ht="18" thickTop="1" x14ac:dyDescent="0.3">
      <c r="A62" s="224"/>
      <c r="B62" s="225" t="s">
        <v>27</v>
      </c>
      <c r="C62" s="225"/>
      <c r="D62" s="226"/>
      <c r="E62" s="226"/>
      <c r="F62" s="226"/>
      <c r="G62" s="226"/>
      <c r="H62" s="226"/>
    </row>
    <row r="63" spans="1:12" ht="7.5" customHeight="1" x14ac:dyDescent="0.25">
      <c r="A63" s="1"/>
      <c r="B63" s="1"/>
      <c r="C63" s="1"/>
    </row>
    <row r="64" spans="1:12" x14ac:dyDescent="0.25">
      <c r="A64" s="120"/>
      <c r="B64" s="120" t="s">
        <v>67</v>
      </c>
      <c r="C64" s="120" t="s">
        <v>66</v>
      </c>
      <c r="D64" s="121"/>
      <c r="E64" s="122">
        <f>start</f>
        <v>43466</v>
      </c>
      <c r="F64" s="122">
        <f>EOMONTH(E64,11)+1</f>
        <v>43831</v>
      </c>
      <c r="G64" s="122">
        <f>EOMONTH(F64,11)+1</f>
        <v>44197</v>
      </c>
      <c r="H64" s="122">
        <f>EOMONTH(G64,11)+1</f>
        <v>44562</v>
      </c>
    </row>
    <row r="65" spans="1:12" ht="6.75" customHeight="1" x14ac:dyDescent="0.25"/>
    <row r="66" spans="1:12" x14ac:dyDescent="0.25">
      <c r="A66" s="58"/>
      <c r="B66" s="58" t="s">
        <v>232</v>
      </c>
      <c r="C66" s="58"/>
      <c r="D66" s="59"/>
      <c r="E66" s="59"/>
      <c r="F66" s="59"/>
      <c r="G66" s="59"/>
      <c r="H66" s="59"/>
    </row>
    <row r="67" spans="1:12" hidden="1" x14ac:dyDescent="0.25">
      <c r="B67" s="5" t="s">
        <v>2</v>
      </c>
      <c r="E67" s="52">
        <f>E68*E69*E70*E71</f>
        <v>0</v>
      </c>
      <c r="F67" s="52">
        <f t="shared" ref="F67:H67" si="39">F68*F69*F70*F71</f>
        <v>0</v>
      </c>
      <c r="G67" s="52">
        <f t="shared" si="39"/>
        <v>0</v>
      </c>
      <c r="H67" s="52">
        <f t="shared" si="39"/>
        <v>0</v>
      </c>
    </row>
    <row r="68" spans="1:12" hidden="1" x14ac:dyDescent="0.25">
      <c r="A68" s="9"/>
      <c r="B68" s="9" t="s">
        <v>37</v>
      </c>
      <c r="C68" s="9"/>
      <c r="E68" s="52">
        <v>0</v>
      </c>
      <c r="F68" s="52">
        <v>0</v>
      </c>
      <c r="G68" s="52">
        <v>0</v>
      </c>
      <c r="H68" s="52">
        <v>0</v>
      </c>
    </row>
    <row r="69" spans="1:12" hidden="1" x14ac:dyDescent="0.25">
      <c r="A69" s="9"/>
      <c r="B69" s="9" t="s">
        <v>38</v>
      </c>
      <c r="C69" s="9"/>
      <c r="D69" s="37"/>
      <c r="E69" s="53">
        <v>0</v>
      </c>
      <c r="F69" s="76">
        <f>3/22</f>
        <v>0.13636363636363635</v>
      </c>
      <c r="G69" s="76">
        <f t="shared" ref="G69:H69" si="40">3/22</f>
        <v>0.13636363636363635</v>
      </c>
      <c r="H69" s="76">
        <f t="shared" si="40"/>
        <v>0.13636363636363635</v>
      </c>
    </row>
    <row r="70" spans="1:12" hidden="1" x14ac:dyDescent="0.25">
      <c r="A70" s="9"/>
      <c r="B70" s="9" t="s">
        <v>39</v>
      </c>
      <c r="C70" s="9"/>
      <c r="E70" s="52">
        <f>'Rates and GI'!D11</f>
        <v>0</v>
      </c>
      <c r="F70" s="52">
        <f>E70*(1+index)</f>
        <v>0</v>
      </c>
      <c r="G70" s="52">
        <f>F70*(1+index)</f>
        <v>0</v>
      </c>
      <c r="H70" s="52">
        <f>G70*(1+index)</f>
        <v>0</v>
      </c>
    </row>
    <row r="71" spans="1:12" hidden="1" x14ac:dyDescent="0.25">
      <c r="A71" s="9"/>
      <c r="B71" s="9" t="s">
        <v>40</v>
      </c>
      <c r="C71" s="9"/>
      <c r="E71" s="54">
        <v>0</v>
      </c>
      <c r="F71" s="52">
        <v>4</v>
      </c>
      <c r="G71" s="44">
        <v>12</v>
      </c>
      <c r="H71" s="44">
        <v>12</v>
      </c>
    </row>
    <row r="72" spans="1:12" hidden="1" x14ac:dyDescent="0.25">
      <c r="A72" s="9"/>
      <c r="B72" s="9"/>
      <c r="C72" s="9"/>
      <c r="E72" s="52"/>
      <c r="F72" s="52"/>
      <c r="G72" s="44"/>
      <c r="H72" s="44"/>
    </row>
    <row r="73" spans="1:12" hidden="1" x14ac:dyDescent="0.25">
      <c r="B73" s="5" t="s">
        <v>23</v>
      </c>
      <c r="E73" s="52">
        <f>E74*E75</f>
        <v>0</v>
      </c>
      <c r="F73" s="52">
        <f t="shared" ref="F73:H73" si="41">F74*F75</f>
        <v>0</v>
      </c>
      <c r="G73" s="52">
        <f t="shared" si="41"/>
        <v>0</v>
      </c>
      <c r="H73" s="52">
        <f t="shared" si="41"/>
        <v>0</v>
      </c>
      <c r="I73" s="70"/>
    </row>
    <row r="74" spans="1:12" hidden="1" x14ac:dyDescent="0.25">
      <c r="A74" s="9"/>
      <c r="B74" s="9" t="s">
        <v>129</v>
      </c>
      <c r="C74" s="9" t="s">
        <v>128</v>
      </c>
      <c r="E74" s="52">
        <v>0</v>
      </c>
      <c r="F74" s="52">
        <v>0</v>
      </c>
      <c r="G74" s="52">
        <v>0</v>
      </c>
      <c r="H74" s="52">
        <v>0</v>
      </c>
      <c r="I74" s="70"/>
    </row>
    <row r="75" spans="1:12" hidden="1" x14ac:dyDescent="0.25">
      <c r="A75" s="9"/>
      <c r="B75" s="9" t="s">
        <v>41</v>
      </c>
      <c r="C75" s="9"/>
      <c r="E75" s="52">
        <f>'Rates and GI'!D12</f>
        <v>17.675000000000001</v>
      </c>
      <c r="F75" s="52">
        <f>E75*(1+index)</f>
        <v>18.435025</v>
      </c>
      <c r="G75" s="52">
        <f>F75*(1+index)</f>
        <v>19.227731074999998</v>
      </c>
      <c r="H75" s="52">
        <f>G75*(1+index)</f>
        <v>20.054523511224996</v>
      </c>
      <c r="I75" s="70"/>
    </row>
    <row r="76" spans="1:12" hidden="1" x14ac:dyDescent="0.25">
      <c r="I76" s="70"/>
    </row>
    <row r="77" spans="1:12" s="7" customFormat="1" x14ac:dyDescent="0.25">
      <c r="A77" s="5"/>
      <c r="B77" s="5" t="s">
        <v>191</v>
      </c>
      <c r="C77" s="5"/>
      <c r="D77" s="36"/>
      <c r="E77" s="52">
        <f>E78*E79</f>
        <v>4904.4600000000009</v>
      </c>
      <c r="F77" s="52">
        <f t="shared" ref="F77:H77" si="42">F78*F79</f>
        <v>2557.67589</v>
      </c>
      <c r="G77" s="52">
        <f t="shared" si="42"/>
        <v>0</v>
      </c>
      <c r="H77" s="52">
        <f t="shared" si="42"/>
        <v>0</v>
      </c>
      <c r="I77" s="70"/>
      <c r="J77" s="6"/>
      <c r="K77" s="6"/>
      <c r="L77" s="6"/>
    </row>
    <row r="78" spans="1:12" s="7" customFormat="1" x14ac:dyDescent="0.25">
      <c r="A78" s="9"/>
      <c r="B78" s="9" t="s">
        <v>193</v>
      </c>
      <c r="C78" s="9" t="s">
        <v>128</v>
      </c>
      <c r="D78" s="36"/>
      <c r="E78" s="52">
        <v>30</v>
      </c>
      <c r="F78" s="52">
        <v>15</v>
      </c>
      <c r="G78" s="52">
        <v>0</v>
      </c>
      <c r="H78" s="52">
        <v>0</v>
      </c>
      <c r="I78" s="70"/>
      <c r="J78" s="6"/>
      <c r="K78" s="6"/>
      <c r="L78" s="6"/>
    </row>
    <row r="79" spans="1:12" s="7" customFormat="1" x14ac:dyDescent="0.25">
      <c r="A79" s="9"/>
      <c r="B79" s="9" t="s">
        <v>41</v>
      </c>
      <c r="C79" s="9"/>
      <c r="D79" s="36"/>
      <c r="E79" s="52">
        <f>'Rates and GI'!D13</f>
        <v>163.48200000000003</v>
      </c>
      <c r="F79" s="52">
        <f>E79*(1+index)</f>
        <v>170.51172600000001</v>
      </c>
      <c r="G79" s="52">
        <f>F79*(1+index)</f>
        <v>177.84373021799999</v>
      </c>
      <c r="H79" s="52">
        <f>G79*(1+index)</f>
        <v>185.49101061737397</v>
      </c>
      <c r="I79" s="70"/>
      <c r="J79" s="6"/>
      <c r="K79" s="6"/>
      <c r="L79" s="6"/>
    </row>
    <row r="81" spans="1:12" x14ac:dyDescent="0.25">
      <c r="A81" s="58"/>
      <c r="B81" s="58" t="s">
        <v>233</v>
      </c>
      <c r="C81" s="58"/>
      <c r="D81" s="59"/>
      <c r="E81" s="60">
        <f>E85+E93+E100+E105+E110+E122</f>
        <v>0</v>
      </c>
      <c r="F81" s="60">
        <f t="shared" ref="F81:G81" si="43">F85+F93+F100+F105+F110+F122</f>
        <v>0</v>
      </c>
      <c r="G81" s="60">
        <f t="shared" si="43"/>
        <v>585060</v>
      </c>
      <c r="H81" s="60">
        <f>H85+H93+H100+H105+H110+H122+H134</f>
        <v>1148250</v>
      </c>
    </row>
    <row r="82" spans="1:12" x14ac:dyDescent="0.25">
      <c r="G82" s="36"/>
      <c r="H82" s="36"/>
    </row>
    <row r="83" spans="1:12" s="7" customFormat="1" x14ac:dyDescent="0.25">
      <c r="A83" s="5"/>
      <c r="B83" s="5" t="s">
        <v>132</v>
      </c>
      <c r="C83" s="5"/>
      <c r="D83" s="36"/>
      <c r="E83" s="52">
        <f>'1n'!E79</f>
        <v>66.14</v>
      </c>
      <c r="F83" s="52">
        <f>'1n'!F79</f>
        <v>70</v>
      </c>
      <c r="G83" s="52">
        <f>'1n'!G79</f>
        <v>70</v>
      </c>
      <c r="H83" s="52">
        <f>'1n'!H79</f>
        <v>75</v>
      </c>
      <c r="I83" s="6"/>
      <c r="J83" s="6"/>
      <c r="K83" s="6"/>
      <c r="L83" s="6"/>
    </row>
    <row r="84" spans="1:12" s="7" customFormat="1" x14ac:dyDescent="0.25">
      <c r="A84" s="5"/>
      <c r="B84" s="5"/>
      <c r="C84" s="5"/>
      <c r="D84" s="36"/>
      <c r="E84" s="36"/>
      <c r="F84" s="36"/>
      <c r="G84" s="36"/>
      <c r="H84" s="29"/>
      <c r="I84" s="6"/>
      <c r="J84" s="6"/>
      <c r="K84" s="6"/>
      <c r="L84" s="6"/>
    </row>
    <row r="85" spans="1:12" s="7" customFormat="1" x14ac:dyDescent="0.25">
      <c r="A85" s="5"/>
      <c r="B85" s="5" t="s">
        <v>225</v>
      </c>
      <c r="C85" s="5"/>
      <c r="D85" s="36"/>
      <c r="E85" s="52">
        <f>(E86+E89*E90)*E132</f>
        <v>0</v>
      </c>
      <c r="F85" s="52">
        <f>(F86+F89*F90)*F132</f>
        <v>0</v>
      </c>
      <c r="G85" s="52">
        <f>(G86+G89*G90)*G132</f>
        <v>26880</v>
      </c>
      <c r="H85" s="52">
        <f>(H86+H89*H90)*H132</f>
        <v>28800</v>
      </c>
      <c r="I85" s="6"/>
      <c r="J85" s="6"/>
      <c r="K85" s="6"/>
      <c r="L85" s="6"/>
    </row>
    <row r="86" spans="1:12" s="7" customFormat="1" x14ac:dyDescent="0.25">
      <c r="A86" s="5"/>
      <c r="B86" s="99" t="s">
        <v>291</v>
      </c>
      <c r="C86" s="5"/>
      <c r="D86" s="36"/>
      <c r="E86" s="52">
        <f>E83*E87</f>
        <v>793.68000000000006</v>
      </c>
      <c r="F86" s="52">
        <f>F83*F87</f>
        <v>840</v>
      </c>
      <c r="G86" s="52">
        <f>G83*G87</f>
        <v>840</v>
      </c>
      <c r="H86" s="52">
        <f>H83*H87</f>
        <v>900</v>
      </c>
      <c r="I86" s="6"/>
      <c r="J86" s="41"/>
      <c r="K86" s="6"/>
      <c r="L86" s="6"/>
    </row>
    <row r="87" spans="1:12" s="7" customFormat="1" x14ac:dyDescent="0.25">
      <c r="A87" s="5"/>
      <c r="B87" s="106" t="s">
        <v>228</v>
      </c>
      <c r="C87" s="5"/>
      <c r="D87" s="36"/>
      <c r="E87" s="52">
        <v>12</v>
      </c>
      <c r="F87" s="52">
        <v>12</v>
      </c>
      <c r="G87" s="52">
        <v>12</v>
      </c>
      <c r="H87" s="52">
        <v>12</v>
      </c>
      <c r="I87" s="6"/>
      <c r="J87" s="6"/>
      <c r="K87" s="6"/>
      <c r="L87" s="6"/>
    </row>
    <row r="88" spans="1:12" s="7" customFormat="1" x14ac:dyDescent="0.25">
      <c r="A88" s="5"/>
      <c r="B88" s="105"/>
      <c r="C88" s="5"/>
      <c r="D88" s="36"/>
      <c r="E88" s="52"/>
      <c r="F88" s="52"/>
      <c r="G88" s="52"/>
      <c r="H88" s="52"/>
      <c r="I88" s="6"/>
      <c r="J88" s="6"/>
      <c r="K88" s="6"/>
      <c r="L88" s="6"/>
    </row>
    <row r="89" spans="1:12" s="7" customFormat="1" x14ac:dyDescent="0.25">
      <c r="A89" s="5"/>
      <c r="B89" s="99" t="s">
        <v>292</v>
      </c>
      <c r="C89" s="5"/>
      <c r="D89" s="36"/>
      <c r="E89" s="52">
        <v>0</v>
      </c>
      <c r="F89" s="52">
        <v>0</v>
      </c>
      <c r="G89" s="52">
        <v>2</v>
      </c>
      <c r="H89" s="52">
        <v>2</v>
      </c>
      <c r="I89" s="6"/>
      <c r="J89" s="6"/>
      <c r="K89" s="6"/>
      <c r="L89" s="6"/>
    </row>
    <row r="90" spans="1:12" s="7" customFormat="1" x14ac:dyDescent="0.25">
      <c r="A90" s="5"/>
      <c r="B90" s="99" t="s">
        <v>293</v>
      </c>
      <c r="C90" s="5"/>
      <c r="D90" s="36"/>
      <c r="E90" s="52">
        <f>E91*E83</f>
        <v>661.4</v>
      </c>
      <c r="F90" s="52">
        <f>F91*F83</f>
        <v>700</v>
      </c>
      <c r="G90" s="52">
        <f>G91*G83</f>
        <v>700</v>
      </c>
      <c r="H90" s="52">
        <f>H91*H83</f>
        <v>750</v>
      </c>
      <c r="I90" s="6"/>
      <c r="J90" s="6"/>
      <c r="K90" s="6"/>
      <c r="L90" s="6"/>
    </row>
    <row r="91" spans="1:12" s="7" customFormat="1" x14ac:dyDescent="0.25">
      <c r="A91" s="5"/>
      <c r="B91" s="106" t="s">
        <v>228</v>
      </c>
      <c r="C91" s="5"/>
      <c r="D91" s="36"/>
      <c r="E91" s="52">
        <v>10</v>
      </c>
      <c r="F91" s="52">
        <v>10</v>
      </c>
      <c r="G91" s="52">
        <v>10</v>
      </c>
      <c r="H91" s="52">
        <v>10</v>
      </c>
      <c r="I91" s="6"/>
      <c r="J91" s="6"/>
      <c r="K91" s="6"/>
      <c r="L91" s="6"/>
    </row>
    <row r="92" spans="1:12" s="7" customFormat="1" x14ac:dyDescent="0.25">
      <c r="A92" s="5"/>
      <c r="B92" s="79"/>
      <c r="C92" s="5"/>
      <c r="D92" s="36"/>
      <c r="E92" s="36"/>
      <c r="F92" s="36"/>
      <c r="G92" s="36"/>
      <c r="H92" s="36"/>
      <c r="I92" s="6"/>
      <c r="J92" s="6"/>
      <c r="K92" s="6"/>
      <c r="L92" s="6"/>
    </row>
    <row r="93" spans="1:12" s="7" customFormat="1" x14ac:dyDescent="0.25">
      <c r="A93" s="5"/>
      <c r="B93" s="5" t="s">
        <v>289</v>
      </c>
      <c r="C93" s="5"/>
      <c r="D93" s="36"/>
      <c r="E93" s="52">
        <f>(E94*E95+E97*E98)*E132</f>
        <v>0</v>
      </c>
      <c r="F93" s="52">
        <f>(F94*F95+F97*F98)*F132</f>
        <v>0</v>
      </c>
      <c r="G93" s="52">
        <f>(G94*G95+G97*G98)*G132</f>
        <v>66000</v>
      </c>
      <c r="H93" s="52">
        <f>(H94*H95+H97*H98)*H132</f>
        <v>66000</v>
      </c>
      <c r="I93" s="6"/>
      <c r="J93" s="6"/>
      <c r="K93" s="6"/>
      <c r="L93" s="6"/>
    </row>
    <row r="94" spans="1:12" s="7" customFormat="1" x14ac:dyDescent="0.25">
      <c r="A94" s="9"/>
      <c r="B94" s="9" t="s">
        <v>288</v>
      </c>
      <c r="C94" s="9"/>
      <c r="D94" s="36"/>
      <c r="E94" s="52">
        <v>0</v>
      </c>
      <c r="F94" s="52">
        <v>0</v>
      </c>
      <c r="G94" s="44">
        <v>2</v>
      </c>
      <c r="H94" s="44">
        <v>2</v>
      </c>
      <c r="I94" s="6"/>
      <c r="J94" s="6"/>
      <c r="K94" s="6"/>
      <c r="L94" s="6"/>
    </row>
    <row r="95" spans="1:12" s="7" customFormat="1" x14ac:dyDescent="0.25">
      <c r="A95" s="9"/>
      <c r="B95" s="9" t="s">
        <v>43</v>
      </c>
      <c r="C95" s="9"/>
      <c r="D95" s="36"/>
      <c r="E95" s="52">
        <v>2000</v>
      </c>
      <c r="F95" s="52">
        <v>2000</v>
      </c>
      <c r="G95" s="52">
        <v>2000</v>
      </c>
      <c r="H95" s="52">
        <v>2000</v>
      </c>
      <c r="I95" s="6"/>
      <c r="J95" s="6"/>
      <c r="K95" s="6"/>
      <c r="L95" s="6"/>
    </row>
    <row r="96" spans="1:12" s="7" customFormat="1" x14ac:dyDescent="0.25">
      <c r="A96" s="9"/>
      <c r="B96" s="9"/>
      <c r="C96" s="9"/>
      <c r="D96" s="36"/>
      <c r="E96" s="52"/>
      <c r="F96" s="52"/>
      <c r="G96" s="52"/>
      <c r="H96" s="52"/>
      <c r="I96" s="6"/>
      <c r="J96" s="6"/>
      <c r="K96" s="6"/>
      <c r="L96" s="6"/>
    </row>
    <row r="97" spans="1:12" s="7" customFormat="1" x14ac:dyDescent="0.25">
      <c r="A97" s="9"/>
      <c r="B97" s="9" t="s">
        <v>44</v>
      </c>
      <c r="C97" s="9"/>
      <c r="D97" s="36"/>
      <c r="E97" s="52">
        <v>0</v>
      </c>
      <c r="F97" s="52">
        <v>0</v>
      </c>
      <c r="G97" s="52">
        <v>3</v>
      </c>
      <c r="H97" s="52">
        <v>3</v>
      </c>
      <c r="I97" s="6"/>
      <c r="J97" s="6"/>
      <c r="K97" s="6"/>
      <c r="L97" s="6"/>
    </row>
    <row r="98" spans="1:12" s="7" customFormat="1" x14ac:dyDescent="0.25">
      <c r="A98" s="9"/>
      <c r="B98" s="9" t="s">
        <v>45</v>
      </c>
      <c r="C98" s="9"/>
      <c r="D98" s="36"/>
      <c r="E98" s="52">
        <v>0</v>
      </c>
      <c r="F98" s="52">
        <v>500</v>
      </c>
      <c r="G98" s="44">
        <v>500</v>
      </c>
      <c r="H98" s="44">
        <v>500</v>
      </c>
      <c r="I98" s="6"/>
      <c r="J98" s="6"/>
      <c r="K98" s="6"/>
      <c r="L98" s="6"/>
    </row>
    <row r="99" spans="1:12" s="7" customFormat="1" x14ac:dyDescent="0.25">
      <c r="A99" s="9"/>
      <c r="B99" s="9"/>
      <c r="C99" s="9"/>
      <c r="D99" s="36"/>
      <c r="E99" s="36"/>
      <c r="F99" s="36"/>
      <c r="G99" s="29"/>
      <c r="H99" s="29"/>
      <c r="I99" s="6"/>
      <c r="J99" s="6"/>
      <c r="K99" s="6"/>
      <c r="L99" s="6"/>
    </row>
    <row r="100" spans="1:12" s="7" customFormat="1" x14ac:dyDescent="0.25">
      <c r="A100" s="5"/>
      <c r="B100" s="94" t="s">
        <v>285</v>
      </c>
      <c r="C100" s="5"/>
      <c r="D100" s="36"/>
      <c r="E100" s="52">
        <f>E101*E102*E103*E132</f>
        <v>0</v>
      </c>
      <c r="F100" s="52">
        <f>F101*F102*F103*F132</f>
        <v>0</v>
      </c>
      <c r="G100" s="52">
        <f>G101*G102*G103*G132</f>
        <v>180000</v>
      </c>
      <c r="H100" s="52">
        <f>H101*H102*H103*H132</f>
        <v>360000</v>
      </c>
      <c r="I100" s="6"/>
      <c r="J100" s="6"/>
      <c r="K100" s="6"/>
      <c r="L100" s="6"/>
    </row>
    <row r="101" spans="1:12" s="7" customFormat="1" x14ac:dyDescent="0.25">
      <c r="A101" s="9"/>
      <c r="B101" s="99" t="s">
        <v>282</v>
      </c>
      <c r="C101" s="9"/>
      <c r="D101" s="36"/>
      <c r="E101" s="52">
        <v>0</v>
      </c>
      <c r="F101" s="52">
        <v>0</v>
      </c>
      <c r="G101" s="52">
        <v>30</v>
      </c>
      <c r="H101" s="52">
        <v>30</v>
      </c>
      <c r="I101" s="6"/>
      <c r="J101" s="6"/>
      <c r="K101" s="6"/>
      <c r="L101" s="6"/>
    </row>
    <row r="102" spans="1:12" s="7" customFormat="1" x14ac:dyDescent="0.25">
      <c r="A102" s="9"/>
      <c r="B102" s="99" t="s">
        <v>283</v>
      </c>
      <c r="C102" s="9"/>
      <c r="D102" s="36"/>
      <c r="E102" s="52">
        <v>1000</v>
      </c>
      <c r="F102" s="52">
        <v>1000</v>
      </c>
      <c r="G102" s="52">
        <v>1000</v>
      </c>
      <c r="H102" s="52">
        <v>1000</v>
      </c>
      <c r="I102" s="6"/>
      <c r="J102" s="6"/>
      <c r="K102" s="6"/>
      <c r="L102" s="6"/>
    </row>
    <row r="103" spans="1:12" s="7" customFormat="1" x14ac:dyDescent="0.25">
      <c r="A103" s="9"/>
      <c r="B103" s="106" t="s">
        <v>234</v>
      </c>
      <c r="C103" s="9"/>
      <c r="D103" s="36"/>
      <c r="E103" s="53">
        <v>0</v>
      </c>
      <c r="F103" s="53">
        <v>0</v>
      </c>
      <c r="G103" s="53">
        <v>0.5</v>
      </c>
      <c r="H103" s="53">
        <v>1</v>
      </c>
      <c r="I103" s="6"/>
      <c r="J103" s="6"/>
      <c r="K103" s="6"/>
      <c r="L103" s="6"/>
    </row>
    <row r="104" spans="1:12" s="7" customFormat="1" x14ac:dyDescent="0.25">
      <c r="A104" s="9"/>
      <c r="B104" s="106"/>
      <c r="C104" s="9"/>
      <c r="D104" s="36"/>
      <c r="E104" s="36"/>
      <c r="F104" s="36"/>
      <c r="G104" s="29"/>
      <c r="H104" s="29"/>
      <c r="I104" s="6"/>
      <c r="J104" s="6"/>
      <c r="K104" s="6"/>
      <c r="L104" s="6"/>
    </row>
    <row r="105" spans="1:12" s="7" customFormat="1" x14ac:dyDescent="0.25">
      <c r="A105" s="9"/>
      <c r="B105" s="94" t="s">
        <v>286</v>
      </c>
      <c r="C105" s="9"/>
      <c r="D105" s="36"/>
      <c r="E105" s="52">
        <f>E106*E107*E108*E132</f>
        <v>0</v>
      </c>
      <c r="F105" s="52">
        <f>F106*F107*F108*F132</f>
        <v>0</v>
      </c>
      <c r="G105" s="52">
        <f>G106*G107*G108*G132</f>
        <v>216000</v>
      </c>
      <c r="H105" s="52">
        <f>H106*H107*H108*H132</f>
        <v>432000</v>
      </c>
      <c r="I105" s="6"/>
      <c r="J105" s="6"/>
      <c r="K105" s="6"/>
      <c r="L105" s="6"/>
    </row>
    <row r="106" spans="1:12" s="7" customFormat="1" x14ac:dyDescent="0.25">
      <c r="A106" s="9"/>
      <c r="B106" s="99" t="s">
        <v>284</v>
      </c>
      <c r="C106" s="9"/>
      <c r="D106" s="36"/>
      <c r="E106" s="52">
        <v>60</v>
      </c>
      <c r="F106" s="52">
        <v>60</v>
      </c>
      <c r="G106" s="52">
        <v>60</v>
      </c>
      <c r="H106" s="52">
        <v>60</v>
      </c>
      <c r="I106" s="6"/>
      <c r="J106" s="6"/>
      <c r="K106" s="6"/>
      <c r="L106" s="6"/>
    </row>
    <row r="107" spans="1:12" s="7" customFormat="1" ht="29.25" customHeight="1" x14ac:dyDescent="0.25">
      <c r="A107" s="9"/>
      <c r="B107" s="106" t="s">
        <v>287</v>
      </c>
      <c r="C107" s="9"/>
      <c r="D107" s="36"/>
      <c r="E107" s="52">
        <v>600</v>
      </c>
      <c r="F107" s="52">
        <v>600</v>
      </c>
      <c r="G107" s="52">
        <v>600</v>
      </c>
      <c r="H107" s="52">
        <v>600</v>
      </c>
      <c r="I107" s="6"/>
      <c r="J107" s="6"/>
      <c r="K107" s="6"/>
      <c r="L107" s="6"/>
    </row>
    <row r="108" spans="1:12" s="7" customFormat="1" x14ac:dyDescent="0.25">
      <c r="A108" s="9"/>
      <c r="B108" s="106" t="s">
        <v>234</v>
      </c>
      <c r="C108" s="9"/>
      <c r="D108" s="36"/>
      <c r="E108" s="53">
        <v>0</v>
      </c>
      <c r="F108" s="53">
        <v>0</v>
      </c>
      <c r="G108" s="53">
        <v>0.5</v>
      </c>
      <c r="H108" s="53">
        <v>1</v>
      </c>
      <c r="I108" s="6"/>
      <c r="J108" s="6"/>
      <c r="K108" s="6"/>
      <c r="L108" s="6"/>
    </row>
    <row r="109" spans="1:12" s="7" customFormat="1" x14ac:dyDescent="0.25">
      <c r="A109" s="9"/>
      <c r="B109" s="106"/>
      <c r="C109" s="9"/>
      <c r="D109" s="36"/>
      <c r="E109" s="53"/>
      <c r="F109" s="53"/>
      <c r="G109" s="53"/>
      <c r="H109" s="53"/>
      <c r="I109" s="6"/>
      <c r="J109" s="6"/>
      <c r="K109" s="6"/>
      <c r="L109" s="6"/>
    </row>
    <row r="110" spans="1:12" s="7" customFormat="1" x14ac:dyDescent="0.25">
      <c r="A110" s="9"/>
      <c r="B110" s="94" t="s">
        <v>290</v>
      </c>
      <c r="C110" s="9"/>
      <c r="D110" s="36"/>
      <c r="E110" s="52">
        <f>(E113*E114+E118*E119)*E132*E111</f>
        <v>0</v>
      </c>
      <c r="F110" s="52">
        <f>(F113*F114+F118*F119)*F132*F111</f>
        <v>0</v>
      </c>
      <c r="G110" s="52">
        <f>(G113*G114+G118*G119)*G132*G111</f>
        <v>52080</v>
      </c>
      <c r="H110" s="52">
        <f>(H113*H114+H118*H119)*H132*H111</f>
        <v>111600</v>
      </c>
      <c r="I110" s="6"/>
      <c r="J110" s="6"/>
      <c r="K110" s="6"/>
      <c r="L110" s="6"/>
    </row>
    <row r="111" spans="1:12" s="7" customFormat="1" x14ac:dyDescent="0.25">
      <c r="A111" s="9"/>
      <c r="B111" s="79" t="s">
        <v>234</v>
      </c>
      <c r="C111" s="9"/>
      <c r="D111" s="36"/>
      <c r="E111" s="53">
        <v>0</v>
      </c>
      <c r="F111" s="53">
        <v>0</v>
      </c>
      <c r="G111" s="53">
        <v>0.5</v>
      </c>
      <c r="H111" s="53">
        <v>1</v>
      </c>
      <c r="I111" s="6"/>
      <c r="J111" s="6"/>
      <c r="K111" s="6"/>
      <c r="L111" s="6"/>
    </row>
    <row r="112" spans="1:12" s="7" customFormat="1" x14ac:dyDescent="0.25">
      <c r="A112" s="9"/>
      <c r="B112" s="94"/>
      <c r="C112" s="9"/>
      <c r="D112" s="36"/>
      <c r="E112" s="52"/>
      <c r="F112" s="52"/>
      <c r="G112" s="52"/>
      <c r="H112" s="52"/>
      <c r="I112" s="6"/>
      <c r="J112" s="6"/>
      <c r="K112" s="6"/>
      <c r="L112" s="6"/>
    </row>
    <row r="113" spans="1:12" s="7" customFormat="1" x14ac:dyDescent="0.25">
      <c r="A113" s="9"/>
      <c r="B113" s="9" t="s">
        <v>42</v>
      </c>
      <c r="C113" s="9"/>
      <c r="D113" s="36"/>
      <c r="E113" s="52">
        <v>0</v>
      </c>
      <c r="F113" s="52">
        <v>0</v>
      </c>
      <c r="G113" s="52">
        <f t="shared" ref="G113:H113" si="44">2*4</f>
        <v>8</v>
      </c>
      <c r="H113" s="52">
        <f t="shared" si="44"/>
        <v>8</v>
      </c>
      <c r="I113" s="6"/>
      <c r="J113" s="6"/>
      <c r="K113" s="6"/>
      <c r="L113" s="6"/>
    </row>
    <row r="114" spans="1:12" s="7" customFormat="1" x14ac:dyDescent="0.25">
      <c r="A114" s="9"/>
      <c r="B114" s="9" t="s">
        <v>43</v>
      </c>
      <c r="C114" s="9"/>
      <c r="D114" s="36"/>
      <c r="E114" s="52">
        <f>E83*E115</f>
        <v>529.12</v>
      </c>
      <c r="F114" s="52">
        <f>F83*F115</f>
        <v>560</v>
      </c>
      <c r="G114" s="52">
        <f>G83*G115</f>
        <v>560</v>
      </c>
      <c r="H114" s="52">
        <f>H83*H115</f>
        <v>600</v>
      </c>
      <c r="I114" s="6"/>
      <c r="J114" s="6"/>
      <c r="K114" s="6"/>
      <c r="L114" s="6"/>
    </row>
    <row r="115" spans="1:12" s="7" customFormat="1" x14ac:dyDescent="0.25">
      <c r="A115" s="9"/>
      <c r="B115" s="79" t="s">
        <v>228</v>
      </c>
      <c r="C115" s="9"/>
      <c r="D115" s="36"/>
      <c r="E115" s="52">
        <v>8</v>
      </c>
      <c r="F115" s="52">
        <v>8</v>
      </c>
      <c r="G115" s="52">
        <v>8</v>
      </c>
      <c r="H115" s="52">
        <v>8</v>
      </c>
      <c r="I115" s="6"/>
      <c r="J115" s="6"/>
      <c r="K115" s="6"/>
      <c r="L115" s="6"/>
    </row>
    <row r="116" spans="1:12" hidden="1" x14ac:dyDescent="0.25">
      <c r="E116" s="52"/>
      <c r="F116" s="52"/>
      <c r="G116" s="44"/>
      <c r="H116" s="44"/>
    </row>
    <row r="117" spans="1:12" s="7" customFormat="1" x14ac:dyDescent="0.25">
      <c r="A117" s="9"/>
      <c r="B117" s="79"/>
      <c r="C117" s="9"/>
      <c r="D117" s="36"/>
      <c r="E117" s="52"/>
      <c r="F117" s="52"/>
      <c r="G117" s="44"/>
      <c r="H117" s="44"/>
      <c r="I117" s="6"/>
      <c r="J117" s="6"/>
      <c r="K117" s="6"/>
      <c r="L117" s="6"/>
    </row>
    <row r="118" spans="1:12" s="7" customFormat="1" x14ac:dyDescent="0.25">
      <c r="A118" s="9"/>
      <c r="B118" s="9" t="s">
        <v>44</v>
      </c>
      <c r="C118" s="9"/>
      <c r="D118" s="36"/>
      <c r="E118" s="52">
        <v>0</v>
      </c>
      <c r="F118" s="52">
        <v>0</v>
      </c>
      <c r="G118" s="52">
        <f t="shared" ref="G118:H118" si="45">3*4</f>
        <v>12</v>
      </c>
      <c r="H118" s="52">
        <f t="shared" si="45"/>
        <v>12</v>
      </c>
      <c r="I118" s="6"/>
      <c r="J118" s="6"/>
      <c r="K118" s="6"/>
      <c r="L118" s="6"/>
    </row>
    <row r="119" spans="1:12" s="7" customFormat="1" x14ac:dyDescent="0.25">
      <c r="A119" s="9"/>
      <c r="B119" s="9" t="s">
        <v>45</v>
      </c>
      <c r="C119" s="9"/>
      <c r="D119" s="36"/>
      <c r="E119" s="52">
        <f>E83*E120</f>
        <v>330.7</v>
      </c>
      <c r="F119" s="52">
        <f>F83*F120</f>
        <v>350</v>
      </c>
      <c r="G119" s="52">
        <f>G83*G120</f>
        <v>350</v>
      </c>
      <c r="H119" s="52">
        <f>H83*H120</f>
        <v>375</v>
      </c>
      <c r="I119" s="6"/>
      <c r="J119" s="6"/>
      <c r="K119" s="6"/>
      <c r="L119" s="6"/>
    </row>
    <row r="120" spans="1:12" s="7" customFormat="1" x14ac:dyDescent="0.25">
      <c r="A120" s="9"/>
      <c r="B120" s="79" t="s">
        <v>228</v>
      </c>
      <c r="C120" s="9"/>
      <c r="D120" s="36"/>
      <c r="E120" s="52">
        <v>5</v>
      </c>
      <c r="F120" s="52">
        <v>5</v>
      </c>
      <c r="G120" s="52">
        <v>5</v>
      </c>
      <c r="H120" s="52">
        <v>5</v>
      </c>
      <c r="I120" s="6"/>
      <c r="J120" s="6"/>
      <c r="K120" s="6"/>
      <c r="L120" s="6"/>
    </row>
    <row r="121" spans="1:12" s="7" customFormat="1" x14ac:dyDescent="0.25">
      <c r="A121" s="9"/>
      <c r="B121" s="106"/>
      <c r="C121" s="9"/>
      <c r="D121" s="36"/>
      <c r="E121" s="53"/>
      <c r="F121" s="53"/>
      <c r="G121" s="53"/>
      <c r="H121" s="53"/>
      <c r="I121" s="6"/>
      <c r="J121" s="6"/>
      <c r="K121" s="6"/>
      <c r="L121" s="6"/>
    </row>
    <row r="122" spans="1:12" s="7" customFormat="1" x14ac:dyDescent="0.25">
      <c r="A122" s="5"/>
      <c r="B122" s="5" t="s">
        <v>229</v>
      </c>
      <c r="C122" s="5"/>
      <c r="D122" s="36"/>
      <c r="E122" s="52">
        <f>(E123*E124+E127*E128)*E132</f>
        <v>0</v>
      </c>
      <c r="F122" s="52">
        <f t="shared" ref="F122:H122" si="46">(F123*F124+F127*F128)*F132</f>
        <v>0</v>
      </c>
      <c r="G122" s="52">
        <f t="shared" si="46"/>
        <v>44100</v>
      </c>
      <c r="H122" s="52">
        <f t="shared" si="46"/>
        <v>47250</v>
      </c>
      <c r="I122" s="6"/>
      <c r="J122" s="6"/>
      <c r="K122" s="6"/>
      <c r="L122" s="6"/>
    </row>
    <row r="123" spans="1:12" s="7" customFormat="1" x14ac:dyDescent="0.25">
      <c r="A123" s="9"/>
      <c r="B123" s="9" t="s">
        <v>230</v>
      </c>
      <c r="C123" s="9"/>
      <c r="D123" s="36"/>
      <c r="E123" s="52">
        <v>0</v>
      </c>
      <c r="F123" s="52">
        <v>0</v>
      </c>
      <c r="G123" s="52">
        <v>5</v>
      </c>
      <c r="H123" s="52">
        <v>5</v>
      </c>
      <c r="I123" s="6"/>
      <c r="J123" s="6"/>
      <c r="K123" s="6"/>
      <c r="L123" s="6"/>
    </row>
    <row r="124" spans="1:12" s="7" customFormat="1" x14ac:dyDescent="0.25">
      <c r="A124" s="9"/>
      <c r="B124" s="9" t="s">
        <v>231</v>
      </c>
      <c r="C124" s="9"/>
      <c r="D124" s="36"/>
      <c r="E124" s="52">
        <f>E125*E83</f>
        <v>231.49</v>
      </c>
      <c r="F124" s="52">
        <f>F125*F83</f>
        <v>245</v>
      </c>
      <c r="G124" s="52">
        <f>G125*G83</f>
        <v>245</v>
      </c>
      <c r="H124" s="52">
        <f>H125*H83</f>
        <v>262.5</v>
      </c>
      <c r="I124" s="6"/>
      <c r="J124" s="6"/>
      <c r="K124" s="6"/>
      <c r="L124" s="6"/>
    </row>
    <row r="125" spans="1:12" ht="13.5" customHeight="1" x14ac:dyDescent="0.25">
      <c r="B125" s="79" t="s">
        <v>228</v>
      </c>
      <c r="E125" s="52">
        <v>3.5</v>
      </c>
      <c r="F125" s="52">
        <v>3.5</v>
      </c>
      <c r="G125" s="52">
        <v>3.5</v>
      </c>
      <c r="H125" s="52">
        <v>3.5</v>
      </c>
    </row>
    <row r="126" spans="1:12" ht="13.5" customHeight="1" x14ac:dyDescent="0.25">
      <c r="B126" s="79"/>
      <c r="E126" s="52"/>
      <c r="F126" s="52"/>
      <c r="G126" s="52"/>
      <c r="H126" s="52"/>
    </row>
    <row r="127" spans="1:12" s="7" customFormat="1" x14ac:dyDescent="0.25">
      <c r="A127" s="9"/>
      <c r="B127" s="9" t="s">
        <v>48</v>
      </c>
      <c r="C127" s="9"/>
      <c r="D127" s="36"/>
      <c r="E127" s="52">
        <v>0</v>
      </c>
      <c r="F127" s="52">
        <v>0</v>
      </c>
      <c r="G127" s="52">
        <v>14</v>
      </c>
      <c r="H127" s="52">
        <v>14</v>
      </c>
      <c r="I127" s="6"/>
      <c r="J127" s="6"/>
      <c r="K127" s="6"/>
      <c r="L127" s="6"/>
    </row>
    <row r="128" spans="1:12" s="7" customFormat="1" x14ac:dyDescent="0.25">
      <c r="A128" s="9"/>
      <c r="B128" s="9" t="s">
        <v>49</v>
      </c>
      <c r="C128" s="9"/>
      <c r="D128" s="36"/>
      <c r="E128" s="52">
        <f>E129*E83</f>
        <v>165.35</v>
      </c>
      <c r="F128" s="52">
        <f>F129*F83</f>
        <v>175</v>
      </c>
      <c r="G128" s="52">
        <f>G129*G83</f>
        <v>175</v>
      </c>
      <c r="H128" s="52">
        <f>H129*H83</f>
        <v>187.5</v>
      </c>
      <c r="I128" s="6"/>
      <c r="J128" s="6"/>
      <c r="K128" s="6"/>
      <c r="L128" s="6"/>
    </row>
    <row r="129" spans="1:12" ht="13.5" customHeight="1" x14ac:dyDescent="0.25">
      <c r="B129" s="79" t="s">
        <v>228</v>
      </c>
      <c r="E129" s="52">
        <v>2.5</v>
      </c>
      <c r="F129" s="52">
        <v>2.5</v>
      </c>
      <c r="G129" s="52">
        <v>2.5</v>
      </c>
      <c r="H129" s="52">
        <v>2.5</v>
      </c>
    </row>
    <row r="130" spans="1:12" ht="13.5" customHeight="1" x14ac:dyDescent="0.25">
      <c r="B130" s="79"/>
      <c r="E130" s="52"/>
      <c r="F130" s="52"/>
      <c r="G130" s="52"/>
      <c r="H130" s="52"/>
    </row>
    <row r="131" spans="1:12" ht="15.75" customHeight="1" x14ac:dyDescent="0.25">
      <c r="B131" s="79" t="s">
        <v>57</v>
      </c>
      <c r="E131" s="52">
        <f>E89+E94+E97+E101*E103+E106*E108+E111*(E113+E118)+E123+E127</f>
        <v>0</v>
      </c>
      <c r="F131" s="52">
        <f>F89+F94+F97+F101*F103+F106*F108+F111*(F113+F118)+F123+F127</f>
        <v>0</v>
      </c>
      <c r="G131" s="52">
        <f t="shared" ref="G131:H131" si="47">1+G89+G94+G97+G101*G103+G106*G108+G111*(G113+G118)+G123+G127</f>
        <v>82</v>
      </c>
      <c r="H131" s="52">
        <f t="shared" si="47"/>
        <v>137</v>
      </c>
    </row>
    <row r="132" spans="1:12" s="7" customFormat="1" x14ac:dyDescent="0.25">
      <c r="A132" s="9"/>
      <c r="B132" s="9" t="s">
        <v>40</v>
      </c>
      <c r="C132" s="9"/>
      <c r="D132" s="36"/>
      <c r="E132" s="54">
        <v>0</v>
      </c>
      <c r="F132" s="52">
        <v>0</v>
      </c>
      <c r="G132" s="52">
        <v>12</v>
      </c>
      <c r="H132" s="52">
        <v>12</v>
      </c>
      <c r="I132" s="6"/>
      <c r="J132" s="6"/>
      <c r="K132" s="6"/>
      <c r="L132" s="6"/>
    </row>
    <row r="133" spans="1:12" s="7" customFormat="1" x14ac:dyDescent="0.25">
      <c r="A133" s="9"/>
      <c r="B133" s="9"/>
      <c r="C133" s="9"/>
      <c r="D133" s="36"/>
      <c r="E133" s="54"/>
      <c r="F133" s="52"/>
      <c r="G133" s="52"/>
      <c r="H133" s="52"/>
      <c r="I133" s="6"/>
      <c r="J133" s="6"/>
      <c r="K133" s="6"/>
      <c r="L133" s="6"/>
    </row>
    <row r="134" spans="1:12" s="7" customFormat="1" x14ac:dyDescent="0.25">
      <c r="A134" s="9"/>
      <c r="B134" s="5" t="s">
        <v>299</v>
      </c>
      <c r="C134" s="9"/>
      <c r="D134" s="36"/>
      <c r="E134" s="54"/>
      <c r="F134" s="52"/>
      <c r="G134" s="52"/>
      <c r="H134" s="52">
        <f>(1*H137*H83+H138*H102+H139*H107+H140*H124+H141*H128)*H135*H136</f>
        <v>102600</v>
      </c>
      <c r="I134" s="6"/>
      <c r="J134" s="6"/>
      <c r="K134" s="6"/>
      <c r="L134" s="6"/>
    </row>
    <row r="135" spans="1:12" s="7" customFormat="1" x14ac:dyDescent="0.25">
      <c r="A135" s="9"/>
      <c r="B135" s="9" t="s">
        <v>294</v>
      </c>
      <c r="C135" s="9"/>
      <c r="D135" s="36"/>
      <c r="E135" s="54"/>
      <c r="F135" s="52"/>
      <c r="G135" s="52"/>
      <c r="H135" s="52">
        <v>2</v>
      </c>
      <c r="I135" s="6"/>
      <c r="J135" s="6"/>
      <c r="K135" s="6"/>
      <c r="L135" s="6"/>
    </row>
    <row r="136" spans="1:12" s="7" customFormat="1" x14ac:dyDescent="0.25">
      <c r="A136" s="9"/>
      <c r="B136" s="9" t="s">
        <v>301</v>
      </c>
      <c r="C136" s="9"/>
      <c r="D136" s="36"/>
      <c r="E136" s="54"/>
      <c r="F136" s="52"/>
      <c r="G136" s="52"/>
      <c r="H136" s="52">
        <v>6</v>
      </c>
      <c r="I136" s="6"/>
      <c r="J136" s="6"/>
      <c r="K136" s="6"/>
      <c r="L136" s="6"/>
    </row>
    <row r="137" spans="1:12" s="7" customFormat="1" x14ac:dyDescent="0.25">
      <c r="A137" s="9"/>
      <c r="B137" s="9" t="s">
        <v>300</v>
      </c>
      <c r="C137" s="9"/>
      <c r="D137" s="36"/>
      <c r="E137" s="54"/>
      <c r="F137" s="52"/>
      <c r="G137" s="52"/>
      <c r="H137" s="52">
        <v>9</v>
      </c>
      <c r="I137" s="6"/>
      <c r="J137" s="6"/>
      <c r="K137" s="6"/>
      <c r="L137" s="6"/>
    </row>
    <row r="138" spans="1:12" s="7" customFormat="1" x14ac:dyDescent="0.25">
      <c r="A138" s="9"/>
      <c r="B138" s="9" t="s">
        <v>295</v>
      </c>
      <c r="C138" s="9"/>
      <c r="D138" s="36"/>
      <c r="E138" s="54"/>
      <c r="F138" s="52"/>
      <c r="G138" s="52"/>
      <c r="H138" s="52">
        <v>3</v>
      </c>
      <c r="I138" s="6"/>
      <c r="J138" s="6"/>
      <c r="K138" s="6"/>
      <c r="L138" s="6"/>
    </row>
    <row r="139" spans="1:12" s="7" customFormat="1" x14ac:dyDescent="0.25">
      <c r="A139" s="9"/>
      <c r="B139" s="9" t="s">
        <v>296</v>
      </c>
      <c r="C139" s="9"/>
      <c r="D139" s="36"/>
      <c r="E139" s="54"/>
      <c r="F139" s="52"/>
      <c r="G139" s="52"/>
      <c r="H139" s="52">
        <v>6</v>
      </c>
      <c r="I139" s="6"/>
      <c r="J139" s="6"/>
      <c r="K139" s="6"/>
      <c r="L139" s="6"/>
    </row>
    <row r="140" spans="1:12" s="7" customFormat="1" x14ac:dyDescent="0.25">
      <c r="A140" s="9"/>
      <c r="B140" s="9" t="s">
        <v>297</v>
      </c>
      <c r="C140" s="9"/>
      <c r="D140" s="36"/>
      <c r="E140" s="54"/>
      <c r="F140" s="52"/>
      <c r="G140" s="52"/>
      <c r="H140" s="52">
        <v>2</v>
      </c>
      <c r="I140" s="6"/>
      <c r="J140" s="6"/>
      <c r="K140" s="6"/>
      <c r="L140" s="6"/>
    </row>
    <row r="141" spans="1:12" s="7" customFormat="1" x14ac:dyDescent="0.25">
      <c r="A141" s="9"/>
      <c r="B141" s="9" t="s">
        <v>298</v>
      </c>
      <c r="C141" s="9"/>
      <c r="D141" s="36"/>
      <c r="E141" s="54"/>
      <c r="F141" s="52"/>
      <c r="G141" s="52"/>
      <c r="H141" s="52">
        <v>4</v>
      </c>
      <c r="I141" s="6"/>
      <c r="J141" s="6"/>
      <c r="K141" s="6"/>
      <c r="L141" s="6"/>
    </row>
    <row r="142" spans="1:12" s="7" customFormat="1" hidden="1" x14ac:dyDescent="0.25">
      <c r="A142" s="9"/>
      <c r="B142" s="9"/>
      <c r="C142" s="9"/>
      <c r="D142" s="36"/>
      <c r="E142" s="54"/>
      <c r="F142" s="52"/>
      <c r="G142" s="52"/>
      <c r="H142" s="52"/>
      <c r="I142" s="6"/>
      <c r="J142" s="6"/>
      <c r="K142" s="6"/>
      <c r="L142" s="6"/>
    </row>
    <row r="143" spans="1:12" s="7" customFormat="1" hidden="1" x14ac:dyDescent="0.25">
      <c r="A143" s="9"/>
      <c r="B143" s="9"/>
      <c r="C143" s="9"/>
      <c r="D143" s="36"/>
      <c r="E143" s="54"/>
      <c r="F143" s="52"/>
      <c r="G143" s="52"/>
      <c r="H143" s="52"/>
      <c r="I143" s="6"/>
      <c r="J143" s="6"/>
      <c r="K143" s="6"/>
      <c r="L143" s="6"/>
    </row>
    <row r="144" spans="1:12" x14ac:dyDescent="0.25">
      <c r="E144" s="52"/>
      <c r="F144" s="52"/>
      <c r="G144" s="44"/>
      <c r="H144" s="44"/>
    </row>
    <row r="145" spans="1:12" x14ac:dyDescent="0.25">
      <c r="A145" s="58"/>
      <c r="B145" s="58" t="s">
        <v>10</v>
      </c>
      <c r="C145" s="58"/>
      <c r="D145" s="59"/>
      <c r="E145" s="60">
        <f>E146*E147+E149*E150</f>
        <v>0</v>
      </c>
      <c r="F145" s="60">
        <f t="shared" ref="F145:H145" si="48">F146*F147+F149*F150</f>
        <v>1823.3222366666669</v>
      </c>
      <c r="G145" s="60">
        <f t="shared" si="48"/>
        <v>7158.3055916666672</v>
      </c>
      <c r="H145" s="60">
        <f t="shared" si="48"/>
        <v>11716.611183333334</v>
      </c>
    </row>
    <row r="146" spans="1:12" s="7" customFormat="1" x14ac:dyDescent="0.25">
      <c r="A146" s="5"/>
      <c r="B146" s="9" t="s">
        <v>50</v>
      </c>
      <c r="C146" s="5"/>
      <c r="D146" s="36"/>
      <c r="E146" s="52">
        <v>0</v>
      </c>
      <c r="F146" s="52">
        <v>2</v>
      </c>
      <c r="G146" s="52">
        <v>5</v>
      </c>
      <c r="H146" s="52">
        <v>10</v>
      </c>
      <c r="I146" s="6"/>
      <c r="J146" s="6"/>
      <c r="K146" s="6"/>
      <c r="L146" s="6"/>
    </row>
    <row r="147" spans="1:12" s="7" customFormat="1" x14ac:dyDescent="0.25">
      <c r="A147" s="5"/>
      <c r="B147" s="9" t="s">
        <v>51</v>
      </c>
      <c r="C147" s="5"/>
      <c r="D147" s="36"/>
      <c r="E147" s="52">
        <f>Trips!$B$10</f>
        <v>911.66111833333343</v>
      </c>
      <c r="F147" s="52">
        <f>Trips!$B$10</f>
        <v>911.66111833333343</v>
      </c>
      <c r="G147" s="52">
        <f>Trips!$B$10</f>
        <v>911.66111833333343</v>
      </c>
      <c r="H147" s="52">
        <f>Trips!$B$10</f>
        <v>911.66111833333343</v>
      </c>
      <c r="I147" s="6"/>
      <c r="J147" s="6"/>
      <c r="K147" s="6"/>
      <c r="L147" s="6"/>
    </row>
    <row r="148" spans="1:12" x14ac:dyDescent="0.25">
      <c r="E148" s="52"/>
      <c r="F148" s="52"/>
      <c r="G148" s="44"/>
      <c r="H148" s="44"/>
    </row>
    <row r="149" spans="1:12" s="7" customFormat="1" x14ac:dyDescent="0.25">
      <c r="A149" s="5"/>
      <c r="B149" s="9" t="s">
        <v>52</v>
      </c>
      <c r="C149" s="5"/>
      <c r="D149" s="36"/>
      <c r="E149" s="52">
        <v>0</v>
      </c>
      <c r="F149" s="52">
        <v>0</v>
      </c>
      <c r="G149" s="52">
        <v>50</v>
      </c>
      <c r="H149" s="52">
        <v>50</v>
      </c>
      <c r="I149" s="6"/>
      <c r="J149" s="6"/>
      <c r="K149" s="6"/>
      <c r="L149" s="6"/>
    </row>
    <row r="150" spans="1:12" s="7" customFormat="1" x14ac:dyDescent="0.25">
      <c r="A150" s="5"/>
      <c r="B150" s="9" t="s">
        <v>53</v>
      </c>
      <c r="C150" s="5"/>
      <c r="D150" s="36"/>
      <c r="E150" s="52">
        <f>Trips!$B$5</f>
        <v>52</v>
      </c>
      <c r="F150" s="52">
        <f>Trips!$B$5</f>
        <v>52</v>
      </c>
      <c r="G150" s="52">
        <f>Trips!$B$5</f>
        <v>52</v>
      </c>
      <c r="H150" s="52">
        <f>Trips!$B$5</f>
        <v>52</v>
      </c>
      <c r="I150" s="6"/>
      <c r="J150" s="6"/>
      <c r="K150" s="6"/>
      <c r="L150" s="6"/>
    </row>
    <row r="151" spans="1:12" hidden="1" x14ac:dyDescent="0.25">
      <c r="E151" s="52"/>
      <c r="F151" s="52"/>
      <c r="G151" s="44"/>
      <c r="H151" s="44"/>
    </row>
    <row r="152" spans="1:12" x14ac:dyDescent="0.25">
      <c r="E152" s="52"/>
      <c r="F152" s="52"/>
      <c r="G152" s="44"/>
      <c r="H152" s="44"/>
    </row>
    <row r="153" spans="1:12" x14ac:dyDescent="0.25">
      <c r="A153" s="58"/>
      <c r="B153" s="58" t="s">
        <v>192</v>
      </c>
      <c r="C153" s="58"/>
      <c r="D153" s="59"/>
      <c r="E153" s="60">
        <f>E154*E155</f>
        <v>0</v>
      </c>
      <c r="F153" s="60">
        <f t="shared" ref="F153:H153" si="49">F154*F155</f>
        <v>743.12691355000004</v>
      </c>
      <c r="G153" s="60">
        <f t="shared" si="49"/>
        <v>0</v>
      </c>
      <c r="H153" s="60">
        <f t="shared" si="49"/>
        <v>0</v>
      </c>
    </row>
    <row r="154" spans="1:12" s="7" customFormat="1" x14ac:dyDescent="0.25">
      <c r="A154" s="10"/>
      <c r="B154" s="45" t="s">
        <v>162</v>
      </c>
      <c r="C154" s="10" t="s">
        <v>163</v>
      </c>
      <c r="D154" s="36"/>
      <c r="E154" s="52">
        <v>0</v>
      </c>
      <c r="F154" s="52">
        <v>1</v>
      </c>
      <c r="G154" s="52">
        <v>0</v>
      </c>
      <c r="H154" s="52">
        <v>0</v>
      </c>
      <c r="I154" s="6"/>
      <c r="J154" s="6"/>
      <c r="K154" s="6"/>
      <c r="L154" s="6"/>
    </row>
    <row r="155" spans="1:12" s="7" customFormat="1" x14ac:dyDescent="0.25">
      <c r="A155" s="5"/>
      <c r="B155" s="45" t="s">
        <v>159</v>
      </c>
      <c r="C155" s="5"/>
      <c r="D155" s="36"/>
      <c r="E155" s="52">
        <f>Trips!B29</f>
        <v>712.48985000000005</v>
      </c>
      <c r="F155" s="52">
        <f>E155*(1+index)</f>
        <v>743.12691355000004</v>
      </c>
      <c r="G155" s="52">
        <f>F155*(1+index)</f>
        <v>775.08137083265001</v>
      </c>
      <c r="H155" s="52">
        <f>G155*(1+index)</f>
        <v>808.40986977845387</v>
      </c>
      <c r="I155" s="6"/>
      <c r="J155" s="6"/>
      <c r="K155" s="6"/>
      <c r="L155" s="6"/>
    </row>
    <row r="156" spans="1:12" s="7" customFormat="1" x14ac:dyDescent="0.25">
      <c r="A156" s="5"/>
      <c r="B156" s="5" t="s">
        <v>73</v>
      </c>
      <c r="C156" s="110"/>
      <c r="D156" s="36"/>
      <c r="E156" s="52">
        <f>'Rates and GI'!$E$27*(E145+E216+E233)</f>
        <v>0</v>
      </c>
      <c r="F156" s="52">
        <f>'Rates and GI'!$E$27*(F145+F216+F233)*0/3</f>
        <v>0</v>
      </c>
      <c r="G156" s="52">
        <f>'Rates and GI'!$E$27*(G145+G216+G233)</f>
        <v>962.37872795833334</v>
      </c>
      <c r="H156" s="52">
        <f>'Rates and GI'!$E$27*(H145+H216+H233)</f>
        <v>985.17025591666663</v>
      </c>
      <c r="I156" s="6"/>
      <c r="J156" s="6"/>
      <c r="K156" s="6"/>
      <c r="L156" s="6"/>
    </row>
    <row r="158" spans="1:12" x14ac:dyDescent="0.25">
      <c r="A158" s="58"/>
      <c r="B158" s="58" t="s">
        <v>148</v>
      </c>
      <c r="C158" s="58"/>
      <c r="D158" s="59"/>
      <c r="E158" s="60">
        <f>E159*E160+E161*E162+E163*E164+E165*E166</f>
        <v>0</v>
      </c>
      <c r="F158" s="60">
        <f t="shared" ref="F158:H158" si="50">F159*F160+F161*F162+F163*F164</f>
        <v>163.48200000000003</v>
      </c>
      <c r="G158" s="60">
        <f t="shared" si="50"/>
        <v>4076.9639999999999</v>
      </c>
      <c r="H158" s="60">
        <f t="shared" si="50"/>
        <v>9413.482</v>
      </c>
    </row>
    <row r="159" spans="1:12" x14ac:dyDescent="0.25">
      <c r="B159" s="45" t="s">
        <v>149</v>
      </c>
      <c r="C159" s="5" t="s">
        <v>150</v>
      </c>
      <c r="E159" s="52"/>
      <c r="F159" s="52">
        <f>Training!$C$31</f>
        <v>81.741000000000014</v>
      </c>
      <c r="G159" s="52">
        <f>Training!$C$31</f>
        <v>81.741000000000014</v>
      </c>
      <c r="H159" s="52">
        <f>Training!$C$31</f>
        <v>81.741000000000014</v>
      </c>
    </row>
    <row r="160" spans="1:12" x14ac:dyDescent="0.25">
      <c r="B160" s="45" t="s">
        <v>151</v>
      </c>
      <c r="E160" s="52"/>
      <c r="F160" s="52">
        <v>2</v>
      </c>
      <c r="G160" s="52">
        <v>4</v>
      </c>
      <c r="H160" s="52">
        <v>2</v>
      </c>
    </row>
    <row r="161" spans="1:12" x14ac:dyDescent="0.25">
      <c r="B161" s="45" t="s">
        <v>152</v>
      </c>
      <c r="D161" s="52"/>
      <c r="E161" s="52"/>
      <c r="F161" s="52">
        <f>Training!C$22</f>
        <v>709.375</v>
      </c>
      <c r="G161" s="52">
        <f>F161*(1+index)</f>
        <v>739.87812499999995</v>
      </c>
      <c r="H161" s="52">
        <f>G161*(1+index)</f>
        <v>771.69288437499995</v>
      </c>
      <c r="I161" s="70"/>
    </row>
    <row r="162" spans="1:12" x14ac:dyDescent="0.25">
      <c r="B162" s="45" t="s">
        <v>153</v>
      </c>
      <c r="D162" s="52"/>
      <c r="E162" s="52">
        <f>E163*E164</f>
        <v>0</v>
      </c>
      <c r="F162" s="52">
        <v>0</v>
      </c>
      <c r="G162" s="52">
        <v>0</v>
      </c>
      <c r="H162" s="52">
        <v>0</v>
      </c>
      <c r="I162" s="70"/>
    </row>
    <row r="163" spans="1:12" x14ac:dyDescent="0.25">
      <c r="B163" s="45" t="s">
        <v>306</v>
      </c>
      <c r="C163" s="5" t="s">
        <v>155</v>
      </c>
      <c r="D163" s="52"/>
      <c r="E163" s="52">
        <f>Training!$C$34*2</f>
        <v>125</v>
      </c>
      <c r="F163" s="52">
        <f>Training!$C$34*2</f>
        <v>125</v>
      </c>
      <c r="G163" s="52">
        <f>Training!$C$34*2</f>
        <v>125</v>
      </c>
      <c r="H163" s="52">
        <f>Training!$C$34*2</f>
        <v>125</v>
      </c>
      <c r="I163" s="70"/>
    </row>
    <row r="164" spans="1:12" x14ac:dyDescent="0.25">
      <c r="B164" s="45" t="s">
        <v>151</v>
      </c>
      <c r="D164" s="52"/>
      <c r="E164" s="52">
        <v>0</v>
      </c>
      <c r="F164" s="52">
        <f>50%*(F101*F103+F106*F108)</f>
        <v>0</v>
      </c>
      <c r="G164" s="52">
        <f>50%*(G101*G103+G106*G108)+H135*(H138+H139)*40%+0.3</f>
        <v>30</v>
      </c>
      <c r="H164" s="52">
        <f>90-F164-G164+(H138+H139+1)*H135*70%</f>
        <v>74</v>
      </c>
      <c r="I164" s="70"/>
    </row>
    <row r="165" spans="1:12" x14ac:dyDescent="0.25">
      <c r="B165" s="45" t="s">
        <v>307</v>
      </c>
      <c r="C165" s="5" t="s">
        <v>155</v>
      </c>
      <c r="D165" s="52"/>
      <c r="E165" s="52">
        <f>Training!$C$34</f>
        <v>62.5</v>
      </c>
      <c r="F165" s="52">
        <f>Training!$C$34</f>
        <v>62.5</v>
      </c>
      <c r="G165" s="52">
        <f>Training!$C$34</f>
        <v>62.5</v>
      </c>
      <c r="H165" s="52">
        <f>Training!$C$34</f>
        <v>62.5</v>
      </c>
      <c r="I165" s="70"/>
    </row>
    <row r="166" spans="1:12" x14ac:dyDescent="0.25">
      <c r="B166" s="45" t="s">
        <v>151</v>
      </c>
      <c r="D166" s="52"/>
      <c r="E166" s="52">
        <v>0</v>
      </c>
      <c r="F166" s="52">
        <f>(F113+F118)*F111*50%</f>
        <v>0</v>
      </c>
      <c r="G166" s="52">
        <f>(G113+G118)*G111*50%</f>
        <v>5</v>
      </c>
      <c r="H166" s="52">
        <f>(H113+H118)*H111-(E166+F166+G166)</f>
        <v>15</v>
      </c>
      <c r="I166" s="70"/>
    </row>
    <row r="167" spans="1:12" hidden="1" x14ac:dyDescent="0.25">
      <c r="B167" s="45"/>
      <c r="G167" s="36"/>
      <c r="H167" s="36"/>
    </row>
    <row r="168" spans="1:12" x14ac:dyDescent="0.25">
      <c r="B168" s="45"/>
    </row>
    <row r="169" spans="1:12" x14ac:dyDescent="0.25">
      <c r="A169" s="58"/>
      <c r="B169" s="58" t="s">
        <v>24</v>
      </c>
      <c r="C169" s="58"/>
      <c r="D169" s="59"/>
      <c r="E169" s="60">
        <f>E170*E171</f>
        <v>420</v>
      </c>
      <c r="F169" s="60">
        <f t="shared" ref="F169:H169" si="51">F170*F171</f>
        <v>187.73999999999998</v>
      </c>
      <c r="G169" s="60">
        <f t="shared" si="51"/>
        <v>0</v>
      </c>
      <c r="H169" s="60">
        <f t="shared" si="51"/>
        <v>0</v>
      </c>
    </row>
    <row r="170" spans="1:12" s="7" customFormat="1" x14ac:dyDescent="0.25">
      <c r="A170" s="5"/>
      <c r="B170" s="45" t="s">
        <v>54</v>
      </c>
      <c r="C170" s="5"/>
      <c r="D170" s="36"/>
      <c r="E170" s="52">
        <v>70</v>
      </c>
      <c r="F170" s="52">
        <v>30</v>
      </c>
      <c r="G170" s="52">
        <v>0</v>
      </c>
      <c r="H170" s="52">
        <v>0</v>
      </c>
      <c r="I170" s="6"/>
      <c r="J170" s="6"/>
      <c r="K170" s="6"/>
      <c r="L170" s="6"/>
    </row>
    <row r="171" spans="1:12" s="7" customFormat="1" x14ac:dyDescent="0.25">
      <c r="A171" s="5"/>
      <c r="B171" s="45" t="s">
        <v>55</v>
      </c>
      <c r="C171" s="5"/>
      <c r="D171" s="36"/>
      <c r="E171" s="52">
        <f>'Rates and GI'!D30</f>
        <v>6</v>
      </c>
      <c r="F171" s="52">
        <f>E171*(1+index)</f>
        <v>6.2579999999999991</v>
      </c>
      <c r="G171" s="52">
        <f>F171*(1+index)</f>
        <v>6.5270939999999991</v>
      </c>
      <c r="H171" s="52">
        <f>G171*(1+index)</f>
        <v>6.8077590419999989</v>
      </c>
      <c r="I171" s="6"/>
      <c r="J171" s="6"/>
      <c r="K171" s="6"/>
      <c r="L171" s="6"/>
    </row>
    <row r="173" spans="1:12" x14ac:dyDescent="0.25">
      <c r="A173" s="58"/>
      <c r="B173" s="58" t="s">
        <v>7</v>
      </c>
      <c r="C173" s="58"/>
      <c r="D173" s="59"/>
      <c r="E173" s="59"/>
      <c r="F173" s="59"/>
      <c r="G173" s="59"/>
      <c r="H173" s="59"/>
    </row>
    <row r="174" spans="1:12" s="7" customFormat="1" x14ac:dyDescent="0.25">
      <c r="A174" s="5"/>
      <c r="B174" s="4" t="s">
        <v>58</v>
      </c>
      <c r="C174" s="5"/>
      <c r="D174" s="36"/>
      <c r="E174" s="52">
        <f>E176*E177*E178</f>
        <v>0</v>
      </c>
      <c r="F174" s="52">
        <f t="shared" ref="F174" si="52">F176*F177*F178</f>
        <v>0</v>
      </c>
      <c r="G174" s="52">
        <f>'New building'!B12*40%*70%</f>
        <v>766989.23636363621</v>
      </c>
      <c r="H174" s="170">
        <f>'New building'!B12*40%*30%+(1+H138+H139+H140+H141)*E176*400</f>
        <v>463109.67272727267</v>
      </c>
      <c r="I174" s="6"/>
      <c r="J174" s="6"/>
      <c r="K174" s="6"/>
      <c r="L174" s="6"/>
    </row>
    <row r="175" spans="1:12" s="7" customFormat="1" x14ac:dyDescent="0.25">
      <c r="A175" s="5"/>
      <c r="B175" s="47" t="s">
        <v>308</v>
      </c>
      <c r="C175" s="46" t="s">
        <v>56</v>
      </c>
      <c r="D175" s="36"/>
      <c r="E175" s="52">
        <f>E176*E177</f>
        <v>2877</v>
      </c>
      <c r="F175" s="52">
        <f>F176*F177</f>
        <v>2877</v>
      </c>
      <c r="G175" s="52">
        <f>G176*G177</f>
        <v>2877</v>
      </c>
      <c r="H175" s="52">
        <f>H176*H177</f>
        <v>2877</v>
      </c>
      <c r="I175" s="6"/>
      <c r="J175" s="6"/>
      <c r="K175" s="6"/>
      <c r="L175" s="6"/>
    </row>
    <row r="176" spans="1:12" s="51" customFormat="1" x14ac:dyDescent="0.25">
      <c r="A176" s="46"/>
      <c r="B176" s="47" t="s">
        <v>59</v>
      </c>
      <c r="C176" s="46" t="s">
        <v>56</v>
      </c>
      <c r="D176" s="48"/>
      <c r="E176" s="52">
        <v>21</v>
      </c>
      <c r="F176" s="52">
        <v>21</v>
      </c>
      <c r="G176" s="52">
        <v>21</v>
      </c>
      <c r="H176" s="52">
        <v>21</v>
      </c>
      <c r="I176" s="50"/>
      <c r="J176" s="50"/>
      <c r="K176" s="50"/>
      <c r="L176" s="50"/>
    </row>
    <row r="177" spans="1:12" s="46" customFormat="1" x14ac:dyDescent="0.25">
      <c r="B177" s="47" t="s">
        <v>243</v>
      </c>
      <c r="D177" s="48"/>
      <c r="E177" s="52">
        <f>MAX($E131:$H131)</f>
        <v>137</v>
      </c>
      <c r="F177" s="52">
        <f>MAX($E131:$H131)</f>
        <v>137</v>
      </c>
      <c r="G177" s="52">
        <f>MAX($E131:$H131)</f>
        <v>137</v>
      </c>
      <c r="H177" s="52">
        <f>MAX($E131:$H131)</f>
        <v>137</v>
      </c>
      <c r="I177" s="50"/>
      <c r="J177" s="50"/>
      <c r="K177" s="50"/>
      <c r="L177" s="50"/>
    </row>
    <row r="178" spans="1:12" s="46" customFormat="1" x14ac:dyDescent="0.25">
      <c r="B178" s="47" t="s">
        <v>60</v>
      </c>
      <c r="D178" s="48"/>
      <c r="E178" s="52">
        <v>0</v>
      </c>
      <c r="F178" s="91"/>
      <c r="G178" s="52">
        <v>0</v>
      </c>
      <c r="H178" s="171"/>
      <c r="I178" s="50"/>
      <c r="J178" s="50"/>
      <c r="K178" s="50"/>
      <c r="L178" s="50"/>
    </row>
    <row r="180" spans="1:12" x14ac:dyDescent="0.25">
      <c r="A180" s="58"/>
      <c r="B180" s="58" t="s">
        <v>26</v>
      </c>
      <c r="C180" s="58"/>
      <c r="D180" s="59"/>
      <c r="E180" s="60">
        <f>E181+E184</f>
        <v>0</v>
      </c>
      <c r="F180" s="60">
        <f>F181+F184</f>
        <v>0</v>
      </c>
      <c r="G180" s="60">
        <f>G181+G184</f>
        <v>73000</v>
      </c>
      <c r="H180" s="60">
        <f>H181+H184</f>
        <v>84000</v>
      </c>
    </row>
    <row r="181" spans="1:12" s="5" customFormat="1" x14ac:dyDescent="0.25">
      <c r="B181" s="5" t="s">
        <v>61</v>
      </c>
      <c r="D181" s="36"/>
      <c r="E181" s="52">
        <f>E182*E183</f>
        <v>0</v>
      </c>
      <c r="F181" s="52">
        <f t="shared" ref="F181:H181" si="53">F182*F183</f>
        <v>0</v>
      </c>
      <c r="G181" s="52">
        <f t="shared" si="53"/>
        <v>21900</v>
      </c>
      <c r="H181" s="52">
        <f t="shared" si="53"/>
        <v>25200</v>
      </c>
      <c r="I181" s="6"/>
      <c r="J181" s="6"/>
      <c r="K181" s="6"/>
      <c r="L181" s="6"/>
    </row>
    <row r="182" spans="1:12" s="5" customFormat="1" x14ac:dyDescent="0.25">
      <c r="B182" s="47" t="s">
        <v>166</v>
      </c>
      <c r="D182" s="36"/>
      <c r="E182" s="52">
        <f>'Rates and GI'!$D$38</f>
        <v>300</v>
      </c>
      <c r="F182" s="52">
        <f>'Rates and GI'!$D$38</f>
        <v>300</v>
      </c>
      <c r="G182" s="52">
        <f>'Rates and GI'!$D$38</f>
        <v>300</v>
      </c>
      <c r="H182" s="52">
        <f>'Rates and GI'!$D$38</f>
        <v>300</v>
      </c>
      <c r="I182" s="6"/>
      <c r="J182" s="6"/>
      <c r="K182" s="6"/>
      <c r="L182" s="6"/>
    </row>
    <row r="183" spans="1:12" s="5" customFormat="1" x14ac:dyDescent="0.25">
      <c r="B183" s="47" t="s">
        <v>165</v>
      </c>
      <c r="D183" s="36"/>
      <c r="E183" s="52">
        <f>E131-E127</f>
        <v>0</v>
      </c>
      <c r="F183" s="52">
        <f>F131-F127-E183</f>
        <v>0</v>
      </c>
      <c r="G183" s="52">
        <f>G131-G127+5-F183-E183</f>
        <v>73</v>
      </c>
      <c r="H183" s="52">
        <f>H131-H127+10-G183-F183-E183+H135*(1+H138+H139+H140)</f>
        <v>84</v>
      </c>
      <c r="I183" s="6"/>
      <c r="J183" s="6"/>
      <c r="K183" s="6"/>
      <c r="L183" s="6"/>
    </row>
    <row r="184" spans="1:12" s="5" customFormat="1" x14ac:dyDescent="0.25">
      <c r="B184" s="5" t="s">
        <v>62</v>
      </c>
      <c r="D184" s="36"/>
      <c r="E184" s="52">
        <f>E185*E186</f>
        <v>0</v>
      </c>
      <c r="F184" s="52">
        <f t="shared" ref="F184:H184" si="54">F185*F186</f>
        <v>0</v>
      </c>
      <c r="G184" s="52">
        <f t="shared" si="54"/>
        <v>51100</v>
      </c>
      <c r="H184" s="52">
        <f t="shared" si="54"/>
        <v>58800</v>
      </c>
      <c r="I184" s="6"/>
      <c r="J184" s="6"/>
      <c r="K184" s="6"/>
      <c r="L184" s="6"/>
    </row>
    <row r="185" spans="1:12" s="5" customFormat="1" x14ac:dyDescent="0.25">
      <c r="B185" s="47" t="s">
        <v>166</v>
      </c>
      <c r="D185" s="36"/>
      <c r="E185" s="52">
        <f>'Rates and GI'!$D$39</f>
        <v>350</v>
      </c>
      <c r="F185" s="52">
        <f>'Rates and GI'!$D$39</f>
        <v>350</v>
      </c>
      <c r="G185" s="52">
        <f>'Rates and GI'!$D$39</f>
        <v>350</v>
      </c>
      <c r="H185" s="52">
        <f>'Rates and GI'!$D$39</f>
        <v>350</v>
      </c>
      <c r="I185" s="6"/>
      <c r="J185" s="6"/>
      <c r="K185" s="6"/>
      <c r="L185" s="6"/>
    </row>
    <row r="186" spans="1:12" s="5" customFormat="1" x14ac:dyDescent="0.25">
      <c r="B186" s="47" t="s">
        <v>165</v>
      </c>
      <c r="D186" s="36"/>
      <c r="E186" s="52">
        <f>E183*2</f>
        <v>0</v>
      </c>
      <c r="F186" s="52">
        <f t="shared" ref="F186:H186" si="55">F183*2</f>
        <v>0</v>
      </c>
      <c r="G186" s="52">
        <f t="shared" si="55"/>
        <v>146</v>
      </c>
      <c r="H186" s="52">
        <f t="shared" si="55"/>
        <v>168</v>
      </c>
      <c r="I186" s="6"/>
      <c r="J186" s="6"/>
      <c r="K186" s="6"/>
      <c r="L186" s="6"/>
    </row>
    <row r="187" spans="1:12" hidden="1" x14ac:dyDescent="0.25"/>
    <row r="188" spans="1:12" s="5" customFormat="1" hidden="1" x14ac:dyDescent="0.25">
      <c r="B188" s="5" t="s">
        <v>309</v>
      </c>
      <c r="D188" s="36"/>
      <c r="E188" s="36">
        <f>SUM(E189:E193)</f>
        <v>0</v>
      </c>
      <c r="F188" s="36">
        <f t="shared" ref="F188:H188" si="56">F189+F192</f>
        <v>0</v>
      </c>
      <c r="G188" s="36">
        <f t="shared" si="56"/>
        <v>0</v>
      </c>
      <c r="H188" s="36">
        <f t="shared" si="56"/>
        <v>0</v>
      </c>
      <c r="I188" s="6"/>
      <c r="J188" s="6"/>
      <c r="K188" s="6"/>
      <c r="L188" s="6"/>
    </row>
    <row r="189" spans="1:12" s="5" customFormat="1" hidden="1" x14ac:dyDescent="0.25">
      <c r="B189" s="47" t="s">
        <v>235</v>
      </c>
      <c r="D189" s="36"/>
      <c r="E189" s="36">
        <v>0</v>
      </c>
      <c r="F189" s="36"/>
      <c r="G189" s="29"/>
      <c r="H189" s="29"/>
      <c r="I189" s="6"/>
      <c r="J189" s="6"/>
      <c r="K189" s="6"/>
      <c r="L189" s="6"/>
    </row>
    <row r="190" spans="1:12" s="5" customFormat="1" hidden="1" x14ac:dyDescent="0.25">
      <c r="B190" s="47" t="s">
        <v>310</v>
      </c>
      <c r="D190" s="36"/>
      <c r="E190" s="36"/>
      <c r="F190" s="36"/>
      <c r="G190" s="29"/>
      <c r="H190" s="29"/>
      <c r="I190" s="6"/>
      <c r="J190" s="6"/>
      <c r="K190" s="6"/>
      <c r="L190" s="6"/>
    </row>
    <row r="191" spans="1:12" s="5" customFormat="1" hidden="1" x14ac:dyDescent="0.25">
      <c r="B191" s="47" t="s">
        <v>311</v>
      </c>
      <c r="D191" s="36"/>
      <c r="E191" s="36"/>
      <c r="F191" s="36"/>
      <c r="G191" s="29"/>
      <c r="H191" s="29"/>
      <c r="I191" s="6"/>
      <c r="J191" s="6"/>
      <c r="K191" s="6"/>
      <c r="L191" s="6"/>
    </row>
    <row r="192" spans="1:12" s="5" customFormat="1" hidden="1" x14ac:dyDescent="0.25">
      <c r="B192" s="47" t="s">
        <v>236</v>
      </c>
      <c r="D192" s="36"/>
      <c r="E192" s="36">
        <v>0</v>
      </c>
      <c r="F192" s="36"/>
      <c r="G192" s="29"/>
      <c r="H192" s="29"/>
      <c r="I192" s="6"/>
      <c r="J192" s="6"/>
      <c r="K192" s="6"/>
      <c r="L192" s="6"/>
    </row>
    <row r="193" spans="1:12" s="5" customFormat="1" hidden="1" x14ac:dyDescent="0.25">
      <c r="B193" s="47" t="s">
        <v>312</v>
      </c>
      <c r="D193" s="36"/>
      <c r="E193" s="36"/>
      <c r="F193" s="36"/>
      <c r="G193" s="29"/>
      <c r="H193" s="29"/>
      <c r="I193" s="6"/>
      <c r="J193" s="6"/>
      <c r="K193" s="6"/>
      <c r="L193" s="6"/>
    </row>
    <row r="195" spans="1:12" x14ac:dyDescent="0.25">
      <c r="A195" s="58"/>
      <c r="B195" s="58" t="s">
        <v>8</v>
      </c>
      <c r="C195" s="58"/>
      <c r="D195" s="59"/>
      <c r="E195" s="60">
        <f>E196*E197</f>
        <v>0</v>
      </c>
      <c r="F195" s="60">
        <f t="shared" ref="F195:H195" si="57">F196*F197</f>
        <v>0</v>
      </c>
      <c r="G195" s="60">
        <f t="shared" si="57"/>
        <v>36500</v>
      </c>
      <c r="H195" s="60">
        <f t="shared" si="57"/>
        <v>42000</v>
      </c>
    </row>
    <row r="196" spans="1:12" s="5" customFormat="1" x14ac:dyDescent="0.25">
      <c r="B196" s="47" t="s">
        <v>166</v>
      </c>
      <c r="D196" s="36"/>
      <c r="E196" s="52">
        <f>'Rates and GI'!$D$40</f>
        <v>100</v>
      </c>
      <c r="F196" s="52">
        <f>'Rates and GI'!$D$40</f>
        <v>100</v>
      </c>
      <c r="G196" s="52">
        <f>'Rates and GI'!$D$40</f>
        <v>100</v>
      </c>
      <c r="H196" s="52">
        <f>'Rates and GI'!$D$40</f>
        <v>100</v>
      </c>
      <c r="I196" s="6"/>
      <c r="J196" s="6"/>
      <c r="K196" s="6"/>
      <c r="L196" s="6"/>
    </row>
    <row r="197" spans="1:12" s="5" customFormat="1" x14ac:dyDescent="0.25">
      <c r="B197" s="47" t="s">
        <v>165</v>
      </c>
      <c r="D197" s="36"/>
      <c r="E197" s="52">
        <f>E183*5</f>
        <v>0</v>
      </c>
      <c r="F197" s="52">
        <f>F183*5</f>
        <v>0</v>
      </c>
      <c r="G197" s="52">
        <f t="shared" ref="G197:H197" si="58">G183*5</f>
        <v>365</v>
      </c>
      <c r="H197" s="52">
        <f t="shared" si="58"/>
        <v>420</v>
      </c>
      <c r="I197" s="6"/>
      <c r="J197" s="6"/>
      <c r="K197" s="6"/>
      <c r="L197" s="6"/>
    </row>
    <row r="199" spans="1:12" x14ac:dyDescent="0.25">
      <c r="A199" s="58"/>
      <c r="B199" s="163" t="s">
        <v>313</v>
      </c>
      <c r="C199" s="58"/>
      <c r="D199" s="59"/>
      <c r="E199" s="60">
        <f>E200*E201+E202*E203+E204*E205</f>
        <v>0</v>
      </c>
      <c r="F199" s="60">
        <f t="shared" ref="F199:H199" si="59">F200*F201+F202*F203+F204*F205</f>
        <v>0</v>
      </c>
      <c r="G199" s="60">
        <f t="shared" si="59"/>
        <v>153600</v>
      </c>
      <c r="H199" s="60">
        <f t="shared" si="59"/>
        <v>0</v>
      </c>
    </row>
    <row r="200" spans="1:12" s="5" customFormat="1" x14ac:dyDescent="0.25">
      <c r="B200" s="47" t="s">
        <v>385</v>
      </c>
      <c r="D200" s="36"/>
      <c r="E200" s="52">
        <f>'Rates and GI'!$D$41</f>
        <v>10500</v>
      </c>
      <c r="F200" s="52">
        <f>'Rates and GI'!$D$41</f>
        <v>10500</v>
      </c>
      <c r="G200" s="52">
        <f>'Rates and GI'!$D$41</f>
        <v>10500</v>
      </c>
      <c r="H200" s="52">
        <f>'Rates and GI'!$D$41</f>
        <v>10500</v>
      </c>
      <c r="I200" s="6"/>
      <c r="J200" s="6"/>
      <c r="K200" s="6"/>
      <c r="L200" s="6"/>
    </row>
    <row r="201" spans="1:12" s="5" customFormat="1" x14ac:dyDescent="0.25">
      <c r="B201" s="47" t="s">
        <v>316</v>
      </c>
      <c r="D201" s="36"/>
      <c r="E201" s="52">
        <v>0</v>
      </c>
      <c r="F201" s="52">
        <v>0</v>
      </c>
      <c r="G201" s="52">
        <v>8</v>
      </c>
      <c r="H201" s="52"/>
      <c r="I201" s="6"/>
      <c r="J201" s="6"/>
      <c r="K201" s="6"/>
      <c r="L201" s="6"/>
    </row>
    <row r="202" spans="1:12" s="5" customFormat="1" x14ac:dyDescent="0.25">
      <c r="B202" s="47" t="s">
        <v>386</v>
      </c>
      <c r="D202" s="36"/>
      <c r="E202" s="52">
        <f>'Rates and GI'!$D$42</f>
        <v>21300</v>
      </c>
      <c r="F202" s="52">
        <f>'Rates and GI'!$D$42</f>
        <v>21300</v>
      </c>
      <c r="G202" s="52">
        <f>'Rates and GI'!$D$42</f>
        <v>21300</v>
      </c>
      <c r="H202" s="52">
        <f>'Rates and GI'!$D$42</f>
        <v>21300</v>
      </c>
      <c r="I202" s="6"/>
      <c r="J202" s="6"/>
      <c r="K202" s="6"/>
      <c r="L202" s="6"/>
    </row>
    <row r="203" spans="1:12" s="5" customFormat="1" x14ac:dyDescent="0.25">
      <c r="B203" s="47" t="s">
        <v>317</v>
      </c>
      <c r="D203" s="36"/>
      <c r="E203" s="52">
        <v>0</v>
      </c>
      <c r="F203" s="52">
        <v>0</v>
      </c>
      <c r="G203" s="52">
        <v>2</v>
      </c>
      <c r="H203" s="52">
        <v>0</v>
      </c>
      <c r="I203" s="6"/>
      <c r="J203" s="6"/>
      <c r="K203" s="6"/>
      <c r="L203" s="6"/>
    </row>
    <row r="204" spans="1:12" s="5" customFormat="1" x14ac:dyDescent="0.25">
      <c r="B204" s="47" t="s">
        <v>387</v>
      </c>
      <c r="D204" s="36"/>
      <c r="E204" s="52">
        <f>'Rates and GI'!$D$43</f>
        <v>13500</v>
      </c>
      <c r="F204" s="52">
        <f>'Rates and GI'!$D$43</f>
        <v>13500</v>
      </c>
      <c r="G204" s="52">
        <f>'Rates and GI'!$D$43</f>
        <v>13500</v>
      </c>
      <c r="H204" s="52">
        <f>'Rates and GI'!$D$43</f>
        <v>13500</v>
      </c>
      <c r="I204" s="6"/>
      <c r="J204" s="6"/>
      <c r="K204" s="6"/>
      <c r="L204" s="6"/>
    </row>
    <row r="205" spans="1:12" s="5" customFormat="1" x14ac:dyDescent="0.25">
      <c r="B205" s="47" t="s">
        <v>388</v>
      </c>
      <c r="D205" s="36"/>
      <c r="E205" s="52"/>
      <c r="F205" s="52">
        <v>0</v>
      </c>
      <c r="G205" s="52">
        <v>2</v>
      </c>
      <c r="H205" s="52"/>
      <c r="I205" s="6"/>
      <c r="J205" s="6"/>
      <c r="K205" s="6"/>
      <c r="L205" s="6"/>
    </row>
    <row r="207" spans="1:12" hidden="1" x14ac:dyDescent="0.25">
      <c r="A207" s="58"/>
      <c r="B207" s="58" t="s">
        <v>25</v>
      </c>
      <c r="C207" s="58"/>
      <c r="D207" s="59"/>
      <c r="E207" s="59"/>
      <c r="F207" s="59"/>
      <c r="G207" s="59"/>
      <c r="H207" s="59"/>
    </row>
    <row r="208" spans="1:12" s="5" customFormat="1" hidden="1" x14ac:dyDescent="0.25">
      <c r="B208" s="47" t="s">
        <v>64</v>
      </c>
      <c r="D208" s="36"/>
      <c r="E208" s="36"/>
      <c r="F208" s="36"/>
      <c r="G208" s="29"/>
      <c r="H208" s="29"/>
      <c r="I208" s="6"/>
      <c r="J208" s="6"/>
      <c r="K208" s="6"/>
      <c r="L208" s="6"/>
    </row>
    <row r="209" spans="1:12" s="5" customFormat="1" hidden="1" x14ac:dyDescent="0.25">
      <c r="B209" s="47" t="s">
        <v>63</v>
      </c>
      <c r="D209" s="36"/>
      <c r="E209" s="36"/>
      <c r="F209" s="36"/>
      <c r="G209" s="29"/>
      <c r="H209" s="29"/>
      <c r="I209" s="6"/>
      <c r="J209" s="6"/>
      <c r="K209" s="6"/>
      <c r="L209" s="6"/>
    </row>
    <row r="210" spans="1:12" s="5" customFormat="1" hidden="1" x14ac:dyDescent="0.25">
      <c r="B210" s="47" t="s">
        <v>65</v>
      </c>
      <c r="D210" s="36"/>
      <c r="E210" s="36"/>
      <c r="F210" s="36"/>
      <c r="G210" s="29"/>
      <c r="H210" s="29"/>
      <c r="I210" s="6"/>
      <c r="J210" s="6"/>
      <c r="K210" s="6"/>
      <c r="L210" s="6"/>
    </row>
    <row r="211" spans="1:12" s="5" customFormat="1" hidden="1" x14ac:dyDescent="0.25">
      <c r="B211" s="5" t="s">
        <v>173</v>
      </c>
      <c r="D211" s="36"/>
      <c r="E211" s="36">
        <f>E212+E213*E214</f>
        <v>0</v>
      </c>
      <c r="F211" s="36">
        <f t="shared" ref="F211:H211" si="60">F212+F213*F214</f>
        <v>0</v>
      </c>
      <c r="G211" s="36">
        <f t="shared" si="60"/>
        <v>0</v>
      </c>
      <c r="H211" s="36">
        <f t="shared" si="60"/>
        <v>0</v>
      </c>
    </row>
    <row r="212" spans="1:12" hidden="1" x14ac:dyDescent="0.25">
      <c r="B212" s="47" t="s">
        <v>220</v>
      </c>
      <c r="F212" s="36">
        <f>'Rates and GI'!D56*0</f>
        <v>0</v>
      </c>
    </row>
    <row r="213" spans="1:12" hidden="1" x14ac:dyDescent="0.25">
      <c r="B213" s="47" t="s">
        <v>178</v>
      </c>
      <c r="E213" s="73">
        <f>'Rates and GI'!$D$59</f>
        <v>0.02</v>
      </c>
      <c r="F213" s="73">
        <f>'Rates and GI'!$D$59</f>
        <v>0.02</v>
      </c>
      <c r="G213" s="73">
        <f>'Rates and GI'!$D$59</f>
        <v>0.02</v>
      </c>
      <c r="H213" s="73">
        <f>'Rates and GI'!$D$59</f>
        <v>0.02</v>
      </c>
    </row>
    <row r="214" spans="1:12" hidden="1" x14ac:dyDescent="0.25">
      <c r="B214" s="47" t="s">
        <v>179</v>
      </c>
      <c r="E214" s="36">
        <v>0</v>
      </c>
      <c r="F214" s="36">
        <v>0</v>
      </c>
      <c r="G214" s="36">
        <v>0</v>
      </c>
      <c r="H214" s="36">
        <v>0</v>
      </c>
    </row>
    <row r="215" spans="1:12" s="5" customFormat="1" hidden="1" x14ac:dyDescent="0.25">
      <c r="B215" s="47"/>
      <c r="D215" s="36"/>
      <c r="E215" s="36"/>
      <c r="F215" s="36"/>
      <c r="G215" s="29"/>
      <c r="H215" s="29"/>
      <c r="I215" s="6"/>
      <c r="J215" s="6"/>
      <c r="K215" s="6"/>
      <c r="L215" s="6"/>
    </row>
    <row r="216" spans="1:12" x14ac:dyDescent="0.25">
      <c r="A216" s="58"/>
      <c r="B216" s="58" t="s">
        <v>241</v>
      </c>
      <c r="C216" s="58"/>
      <c r="D216" s="59"/>
      <c r="E216" s="60">
        <f>E217+E225</f>
        <v>0</v>
      </c>
      <c r="F216" s="60">
        <f t="shared" ref="F216:H216" si="61">F217+F225</f>
        <v>0</v>
      </c>
      <c r="G216" s="60">
        <f t="shared" si="61"/>
        <v>185167.44</v>
      </c>
      <c r="H216" s="60">
        <f t="shared" si="61"/>
        <v>185167.44</v>
      </c>
      <c r="I216" s="70"/>
    </row>
    <row r="217" spans="1:12" x14ac:dyDescent="0.25">
      <c r="B217" s="5" t="s">
        <v>278</v>
      </c>
      <c r="E217" s="52">
        <f>SUM(E220:E223)</f>
        <v>0</v>
      </c>
      <c r="F217" s="52">
        <f t="shared" ref="F217:H217" si="62">SUM(F220:F223)</f>
        <v>0</v>
      </c>
      <c r="G217" s="52">
        <f t="shared" si="62"/>
        <v>140167.44</v>
      </c>
      <c r="H217" s="52">
        <f t="shared" si="62"/>
        <v>140167.44</v>
      </c>
      <c r="I217" s="70"/>
    </row>
    <row r="218" spans="1:12" x14ac:dyDescent="0.25">
      <c r="B218" s="47" t="s">
        <v>238</v>
      </c>
      <c r="C218" s="5" t="s">
        <v>56</v>
      </c>
      <c r="E218" s="52">
        <f>$E$175</f>
        <v>2877</v>
      </c>
      <c r="F218" s="52">
        <f t="shared" ref="F218:H218" si="63">$E$175</f>
        <v>2877</v>
      </c>
      <c r="G218" s="52">
        <f t="shared" si="63"/>
        <v>2877</v>
      </c>
      <c r="H218" s="52">
        <f t="shared" si="63"/>
        <v>2877</v>
      </c>
      <c r="I218" s="70"/>
    </row>
    <row r="219" spans="1:12" x14ac:dyDescent="0.25">
      <c r="B219" s="47" t="s">
        <v>40</v>
      </c>
      <c r="E219" s="52">
        <v>0</v>
      </c>
      <c r="F219" s="52">
        <v>0</v>
      </c>
      <c r="G219" s="52">
        <v>12</v>
      </c>
      <c r="H219" s="52">
        <v>12</v>
      </c>
      <c r="I219" s="70"/>
    </row>
    <row r="220" spans="1:12" s="5" customFormat="1" x14ac:dyDescent="0.25">
      <c r="B220" s="47" t="s">
        <v>237</v>
      </c>
      <c r="D220" s="36"/>
      <c r="E220" s="52">
        <f>'Rates and GI'!$D$47/500*E218*E219</f>
        <v>0</v>
      </c>
      <c r="F220" s="52">
        <f>'Rates and GI'!$D$47/500*F218*F219</f>
        <v>0</v>
      </c>
      <c r="G220" s="52">
        <f>'Rates and GI'!$D$47/500*G218*G219</f>
        <v>88381.440000000002</v>
      </c>
      <c r="H220" s="52">
        <f>'Rates and GI'!$D$47/500*H218*H219</f>
        <v>88381.440000000002</v>
      </c>
      <c r="I220" s="70"/>
      <c r="J220" s="6"/>
      <c r="K220" s="6"/>
      <c r="L220" s="6"/>
    </row>
    <row r="221" spans="1:12" s="5" customFormat="1" x14ac:dyDescent="0.25">
      <c r="B221" s="47" t="s">
        <v>18</v>
      </c>
      <c r="D221" s="36"/>
      <c r="E221" s="52">
        <f>'Rates and GI'!$D$48/500*E218*E219</f>
        <v>0</v>
      </c>
      <c r="F221" s="52">
        <f>'Rates and GI'!$D$48/500*F218*F219</f>
        <v>0</v>
      </c>
      <c r="G221" s="52">
        <f>'Rates and GI'!$D$48/500*G218*G219</f>
        <v>20714.400000000001</v>
      </c>
      <c r="H221" s="52">
        <f>'Rates and GI'!$D$48/500*H218*H219</f>
        <v>20714.400000000001</v>
      </c>
      <c r="I221" s="70"/>
      <c r="J221" s="6"/>
      <c r="K221" s="6"/>
      <c r="L221" s="6"/>
    </row>
    <row r="222" spans="1:12" s="5" customFormat="1" x14ac:dyDescent="0.25">
      <c r="B222" s="47" t="s">
        <v>19</v>
      </c>
      <c r="D222" s="36"/>
      <c r="E222" s="52">
        <f>'Rates and GI'!$D$49/500*E218*E219</f>
        <v>0</v>
      </c>
      <c r="F222" s="52">
        <f>'Rates and GI'!$D$49/500*F218*F219</f>
        <v>0</v>
      </c>
      <c r="G222" s="52">
        <f>'Rates and GI'!$D$49/500*G218*G219</f>
        <v>17262</v>
      </c>
      <c r="H222" s="52">
        <f>'Rates and GI'!$D$49/500*H218*H219</f>
        <v>17262</v>
      </c>
      <c r="I222" s="70"/>
      <c r="J222" s="6"/>
      <c r="K222" s="6"/>
      <c r="L222" s="6"/>
    </row>
    <row r="223" spans="1:12" s="5" customFormat="1" x14ac:dyDescent="0.25">
      <c r="B223" s="47" t="s">
        <v>22</v>
      </c>
      <c r="D223" s="36"/>
      <c r="E223" s="52">
        <f>'Rates and GI'!$D$50/500*E218*E219</f>
        <v>0</v>
      </c>
      <c r="F223" s="52">
        <f>'Rates and GI'!$D$50/500*F218*F219</f>
        <v>0</v>
      </c>
      <c r="G223" s="52">
        <f>'Rates and GI'!$D$50/500*G218*G219</f>
        <v>13809.599999999999</v>
      </c>
      <c r="H223" s="52">
        <f>'Rates and GI'!$D$50/500*H218*H219</f>
        <v>13809.599999999999</v>
      </c>
      <c r="I223" s="70"/>
      <c r="J223" s="6"/>
      <c r="K223" s="6"/>
      <c r="L223" s="6"/>
    </row>
    <row r="224" spans="1:12" s="5" customFormat="1" x14ac:dyDescent="0.25">
      <c r="B224" s="47"/>
      <c r="D224" s="36"/>
      <c r="E224" s="52"/>
      <c r="F224" s="52"/>
      <c r="G224" s="44"/>
      <c r="H224" s="44"/>
      <c r="I224" s="6"/>
      <c r="J224" s="6"/>
      <c r="K224" s="6"/>
      <c r="L224" s="6"/>
    </row>
    <row r="225" spans="1:12" s="5" customFormat="1" x14ac:dyDescent="0.25">
      <c r="B225" s="5" t="s">
        <v>13</v>
      </c>
      <c r="D225" s="36"/>
      <c r="E225" s="52">
        <f>E226*E227+E228*E229+E230*E231</f>
        <v>0</v>
      </c>
      <c r="F225" s="52">
        <f t="shared" ref="F225:H225" si="64">F226*F227+F228*F229+F230*F231</f>
        <v>0</v>
      </c>
      <c r="G225" s="52">
        <f t="shared" si="64"/>
        <v>45000</v>
      </c>
      <c r="H225" s="52">
        <f t="shared" si="64"/>
        <v>45000</v>
      </c>
      <c r="I225" s="6"/>
      <c r="J225" s="6"/>
      <c r="K225" s="6"/>
      <c r="L225" s="6"/>
    </row>
    <row r="226" spans="1:12" s="5" customFormat="1" x14ac:dyDescent="0.25">
      <c r="B226" s="47" t="s">
        <v>390</v>
      </c>
      <c r="C226" s="78"/>
      <c r="D226" s="36"/>
      <c r="E226" s="52">
        <f>'Rates and GI'!$D$51</f>
        <v>3000</v>
      </c>
      <c r="F226" s="52">
        <f>'Rates and GI'!$D$51</f>
        <v>3000</v>
      </c>
      <c r="G226" s="52">
        <f>'Rates and GI'!$D$51</f>
        <v>3000</v>
      </c>
      <c r="H226" s="52">
        <f>'Rates and GI'!$D$51</f>
        <v>3000</v>
      </c>
      <c r="I226" s="6"/>
      <c r="J226" s="6"/>
      <c r="K226" s="6"/>
      <c r="L226" s="6"/>
    </row>
    <row r="227" spans="1:12" s="5" customFormat="1" x14ac:dyDescent="0.25">
      <c r="B227" s="47" t="s">
        <v>239</v>
      </c>
      <c r="D227" s="36"/>
      <c r="E227" s="52"/>
      <c r="F227" s="52">
        <f>F201</f>
        <v>0</v>
      </c>
      <c r="G227" s="52">
        <f>G201</f>
        <v>8</v>
      </c>
      <c r="H227" s="52">
        <f>G227</f>
        <v>8</v>
      </c>
      <c r="I227" s="6"/>
      <c r="J227" s="6"/>
      <c r="K227" s="6"/>
      <c r="L227" s="6"/>
    </row>
    <row r="228" spans="1:12" s="5" customFormat="1" x14ac:dyDescent="0.25">
      <c r="B228" s="47" t="s">
        <v>391</v>
      </c>
      <c r="C228" s="78"/>
      <c r="D228" s="36"/>
      <c r="E228" s="52">
        <f>E226*1.5</f>
        <v>4500</v>
      </c>
      <c r="F228" s="52">
        <f t="shared" ref="F228:H228" si="65">F226*1.5</f>
        <v>4500</v>
      </c>
      <c r="G228" s="52">
        <f t="shared" si="65"/>
        <v>4500</v>
      </c>
      <c r="H228" s="52">
        <f t="shared" si="65"/>
        <v>4500</v>
      </c>
      <c r="I228" s="6"/>
      <c r="J228" s="6"/>
      <c r="K228" s="6"/>
      <c r="L228" s="6"/>
    </row>
    <row r="229" spans="1:12" s="5" customFormat="1" x14ac:dyDescent="0.25">
      <c r="B229" s="47" t="s">
        <v>239</v>
      </c>
      <c r="C229" s="78"/>
      <c r="D229" s="36"/>
      <c r="E229" s="52"/>
      <c r="F229" s="52">
        <f>F203</f>
        <v>0</v>
      </c>
      <c r="G229" s="52">
        <f>G203</f>
        <v>2</v>
      </c>
      <c r="H229" s="52">
        <f>G229</f>
        <v>2</v>
      </c>
      <c r="I229" s="6"/>
      <c r="J229" s="6"/>
      <c r="K229" s="6"/>
      <c r="L229" s="6"/>
    </row>
    <row r="230" spans="1:12" s="5" customFormat="1" x14ac:dyDescent="0.25">
      <c r="B230" s="47" t="s">
        <v>392</v>
      </c>
      <c r="C230" s="78"/>
      <c r="D230" s="36"/>
      <c r="E230" s="52">
        <f>E226*2</f>
        <v>6000</v>
      </c>
      <c r="F230" s="52">
        <f t="shared" ref="F230:H230" si="66">F226*2</f>
        <v>6000</v>
      </c>
      <c r="G230" s="52">
        <f t="shared" si="66"/>
        <v>6000</v>
      </c>
      <c r="H230" s="52">
        <f t="shared" si="66"/>
        <v>6000</v>
      </c>
      <c r="I230" s="6"/>
      <c r="J230" s="6"/>
      <c r="K230" s="6"/>
      <c r="L230" s="6"/>
    </row>
    <row r="231" spans="1:12" s="5" customFormat="1" x14ac:dyDescent="0.25">
      <c r="B231" s="47" t="s">
        <v>239</v>
      </c>
      <c r="C231" s="78"/>
      <c r="D231" s="36"/>
      <c r="E231" s="52"/>
      <c r="F231" s="52">
        <f>F205</f>
        <v>0</v>
      </c>
      <c r="G231" s="52">
        <f>G205</f>
        <v>2</v>
      </c>
      <c r="H231" s="52">
        <f>G231</f>
        <v>2</v>
      </c>
      <c r="I231" s="6"/>
      <c r="J231" s="6"/>
      <c r="K231" s="6"/>
      <c r="L231" s="6"/>
    </row>
    <row r="232" spans="1:12" s="5" customFormat="1" x14ac:dyDescent="0.25">
      <c r="B232" s="47"/>
      <c r="D232" s="36"/>
      <c r="E232" s="36"/>
      <c r="F232" s="36"/>
      <c r="G232" s="29"/>
      <c r="H232" s="29"/>
      <c r="I232" s="6"/>
      <c r="J232" s="6"/>
      <c r="K232" s="6"/>
      <c r="L232" s="6"/>
    </row>
    <row r="233" spans="1:12" x14ac:dyDescent="0.25">
      <c r="A233" s="58"/>
      <c r="B233" s="58" t="s">
        <v>21</v>
      </c>
      <c r="C233" s="58"/>
      <c r="D233" s="59"/>
      <c r="E233" s="60">
        <f>E234*E235+E236*E237++E238*E239+E240*E241</f>
        <v>0</v>
      </c>
      <c r="F233" s="60">
        <f t="shared" ref="F233:H233" si="67">F234*F235+F236*F237++F238*F239+F240*F241</f>
        <v>150</v>
      </c>
      <c r="G233" s="60">
        <f t="shared" si="67"/>
        <v>150</v>
      </c>
      <c r="H233" s="60">
        <f t="shared" si="67"/>
        <v>150</v>
      </c>
    </row>
    <row r="234" spans="1:12" hidden="1" x14ac:dyDescent="0.25">
      <c r="B234" s="47" t="s">
        <v>169</v>
      </c>
      <c r="E234" s="52"/>
      <c r="F234" s="52"/>
      <c r="G234" s="52">
        <v>0</v>
      </c>
      <c r="H234" s="52"/>
    </row>
    <row r="235" spans="1:12" hidden="1" x14ac:dyDescent="0.25">
      <c r="B235" s="47" t="s">
        <v>170</v>
      </c>
      <c r="E235" s="52">
        <f>'Rates and GI'!$D$69</f>
        <v>5000</v>
      </c>
      <c r="F235" s="52">
        <f>'Rates and GI'!$D$69</f>
        <v>5000</v>
      </c>
      <c r="G235" s="52">
        <f>'Rates and GI'!$D$69</f>
        <v>5000</v>
      </c>
      <c r="H235" s="52">
        <f>'Rates and GI'!$D$69</f>
        <v>5000</v>
      </c>
    </row>
    <row r="236" spans="1:12" hidden="1" x14ac:dyDescent="0.25">
      <c r="B236" s="47" t="s">
        <v>167</v>
      </c>
      <c r="E236" s="52"/>
      <c r="F236" s="52">
        <v>0</v>
      </c>
      <c r="G236" s="52">
        <v>0</v>
      </c>
      <c r="H236" s="52">
        <v>0</v>
      </c>
    </row>
    <row r="237" spans="1:12" hidden="1" x14ac:dyDescent="0.25">
      <c r="B237" s="47" t="s">
        <v>168</v>
      </c>
      <c r="E237" s="52">
        <f>'Rates and GI'!$D$70</f>
        <v>1500</v>
      </c>
      <c r="F237" s="52">
        <f>'Rates and GI'!$D$70</f>
        <v>1500</v>
      </c>
      <c r="G237" s="52">
        <f>'Rates and GI'!$D$70</f>
        <v>1500</v>
      </c>
      <c r="H237" s="52">
        <f>'Rates and GI'!$D$70</f>
        <v>1500</v>
      </c>
    </row>
    <row r="238" spans="1:12" ht="27" hidden="1" x14ac:dyDescent="0.25">
      <c r="B238" s="71" t="s">
        <v>183</v>
      </c>
      <c r="E238" s="52">
        <v>0</v>
      </c>
      <c r="F238" s="52">
        <v>0</v>
      </c>
      <c r="G238" s="52">
        <v>0</v>
      </c>
      <c r="H238" s="52">
        <v>0</v>
      </c>
    </row>
    <row r="239" spans="1:12" ht="27" hidden="1" x14ac:dyDescent="0.25">
      <c r="B239" s="71" t="s">
        <v>182</v>
      </c>
      <c r="E239" s="52">
        <f>'Rates and GI'!$D$71</f>
        <v>200</v>
      </c>
      <c r="F239" s="52">
        <f>'Rates and GI'!$D$71</f>
        <v>200</v>
      </c>
      <c r="G239" s="52">
        <f>'Rates and GI'!$D$71</f>
        <v>200</v>
      </c>
      <c r="H239" s="52">
        <f>'Rates and GI'!$D$71</f>
        <v>200</v>
      </c>
    </row>
    <row r="240" spans="1:12" s="5" customFormat="1" x14ac:dyDescent="0.25">
      <c r="B240" s="47" t="s">
        <v>354</v>
      </c>
      <c r="D240" s="36"/>
      <c r="E240" s="52">
        <v>0</v>
      </c>
      <c r="F240" s="52">
        <v>3</v>
      </c>
      <c r="G240" s="52">
        <v>3</v>
      </c>
      <c r="H240" s="52">
        <v>3</v>
      </c>
      <c r="I240" s="6"/>
      <c r="J240" s="6"/>
      <c r="K240" s="6"/>
      <c r="L240" s="6"/>
    </row>
    <row r="241" spans="1:12" s="5" customFormat="1" x14ac:dyDescent="0.25">
      <c r="B241" s="47" t="s">
        <v>349</v>
      </c>
      <c r="D241" s="36"/>
      <c r="E241" s="52">
        <f>'Rates and GI'!$D$72</f>
        <v>50</v>
      </c>
      <c r="F241" s="52">
        <f>'Rates and GI'!$D$72</f>
        <v>50</v>
      </c>
      <c r="G241" s="52">
        <f>'Rates and GI'!$D$72</f>
        <v>50</v>
      </c>
      <c r="H241" s="52">
        <f>'Rates and GI'!$D$72</f>
        <v>50</v>
      </c>
      <c r="I241" s="6"/>
      <c r="J241" s="6"/>
      <c r="K241" s="6"/>
      <c r="L241" s="6"/>
    </row>
    <row r="242" spans="1:12" x14ac:dyDescent="0.25">
      <c r="A242" s="58"/>
      <c r="B242" s="58"/>
      <c r="C242" s="58"/>
      <c r="D242" s="59"/>
      <c r="E242" s="60"/>
      <c r="F242" s="60"/>
      <c r="G242" s="60"/>
      <c r="H242" s="60"/>
    </row>
    <row r="243" spans="1:12" hidden="1" x14ac:dyDescent="0.25">
      <c r="A243" s="58"/>
      <c r="B243" s="58" t="s">
        <v>218</v>
      </c>
      <c r="C243" s="58"/>
      <c r="D243" s="59"/>
      <c r="E243" s="60">
        <f>E244+E247+E250+E259+E264</f>
        <v>0</v>
      </c>
      <c r="F243" s="60">
        <f t="shared" ref="F243:H243" si="68">F244+F247+F250+F259+F264</f>
        <v>0</v>
      </c>
      <c r="G243" s="60">
        <f t="shared" si="68"/>
        <v>0</v>
      </c>
      <c r="H243" s="60">
        <f t="shared" si="68"/>
        <v>0</v>
      </c>
    </row>
    <row r="244" spans="1:12" s="5" customFormat="1" hidden="1" x14ac:dyDescent="0.25">
      <c r="B244" s="5" t="s">
        <v>197</v>
      </c>
      <c r="D244" s="36"/>
      <c r="E244" s="52">
        <f>E245+E248*E249</f>
        <v>0</v>
      </c>
      <c r="F244" s="52">
        <f>F245+F248*F249</f>
        <v>0</v>
      </c>
      <c r="G244" s="52">
        <f>G245+G248*G249</f>
        <v>0</v>
      </c>
      <c r="H244" s="52">
        <f t="shared" ref="H244" si="69">H245+H248*H249</f>
        <v>0</v>
      </c>
    </row>
    <row r="245" spans="1:12" hidden="1" x14ac:dyDescent="0.25">
      <c r="B245" s="47" t="s">
        <v>208</v>
      </c>
      <c r="E245" s="52"/>
      <c r="F245" s="52">
        <f>('Rates and GI'!$D$56+'Rates and GI'!$D$60)*0</f>
        <v>0</v>
      </c>
      <c r="G245" s="52">
        <f>('Rates and GI'!$D$56+'Rates and GI'!$D$60)*0</f>
        <v>0</v>
      </c>
      <c r="H245" s="52"/>
    </row>
    <row r="246" spans="1:12" hidden="1" x14ac:dyDescent="0.25">
      <c r="B246" s="47" t="s">
        <v>211</v>
      </c>
      <c r="E246" s="52"/>
      <c r="F246" s="52">
        <f>'Rates and GI'!$D$62*0</f>
        <v>0</v>
      </c>
      <c r="G246" s="52">
        <f>'Rates and GI'!$D$62*0</f>
        <v>0</v>
      </c>
      <c r="H246" s="52"/>
    </row>
    <row r="247" spans="1:12" hidden="1" x14ac:dyDescent="0.25">
      <c r="B247" s="5" t="s">
        <v>198</v>
      </c>
      <c r="E247" s="52">
        <f>E248*E249</f>
        <v>0</v>
      </c>
      <c r="F247" s="52">
        <f t="shared" ref="F247:H247" si="70">F248*F249</f>
        <v>0</v>
      </c>
      <c r="G247" s="52">
        <f t="shared" si="70"/>
        <v>0</v>
      </c>
      <c r="H247" s="52">
        <f t="shared" si="70"/>
        <v>0</v>
      </c>
    </row>
    <row r="248" spans="1:12" hidden="1" x14ac:dyDescent="0.25">
      <c r="B248" s="47" t="s">
        <v>186</v>
      </c>
      <c r="E248" s="52"/>
      <c r="F248" s="52">
        <f>'Rates and GI'!$D$65</f>
        <v>24.1465</v>
      </c>
      <c r="G248" s="52">
        <f>'Rates and GI'!$D$65</f>
        <v>24.1465</v>
      </c>
      <c r="H248" s="52">
        <f>'Rates and GI'!$D$65</f>
        <v>24.1465</v>
      </c>
    </row>
    <row r="249" spans="1:12" hidden="1" x14ac:dyDescent="0.25">
      <c r="B249" s="47" t="s">
        <v>185</v>
      </c>
      <c r="E249" s="52"/>
      <c r="F249" s="52">
        <v>0</v>
      </c>
      <c r="G249" s="52">
        <v>0</v>
      </c>
      <c r="H249" s="52">
        <v>0</v>
      </c>
    </row>
    <row r="250" spans="1:12" hidden="1" x14ac:dyDescent="0.25">
      <c r="B250" s="5" t="s">
        <v>199</v>
      </c>
      <c r="E250" s="52">
        <f>E251+E255</f>
        <v>0</v>
      </c>
      <c r="F250" s="52">
        <f t="shared" ref="F250:H250" si="71">F251+F255</f>
        <v>0</v>
      </c>
      <c r="G250" s="52">
        <f t="shared" si="71"/>
        <v>0</v>
      </c>
      <c r="H250" s="52">
        <f t="shared" si="71"/>
        <v>0</v>
      </c>
    </row>
    <row r="251" spans="1:12" hidden="1" x14ac:dyDescent="0.25">
      <c r="B251" s="47" t="s">
        <v>213</v>
      </c>
      <c r="E251" s="52">
        <f>E252*E253</f>
        <v>0</v>
      </c>
      <c r="F251" s="52">
        <f t="shared" ref="F251:H251" si="72">F252*F253</f>
        <v>0</v>
      </c>
      <c r="G251" s="52">
        <f t="shared" si="72"/>
        <v>0</v>
      </c>
      <c r="H251" s="52">
        <f t="shared" si="72"/>
        <v>0</v>
      </c>
    </row>
    <row r="252" spans="1:12" hidden="1" x14ac:dyDescent="0.25">
      <c r="B252" s="47" t="s">
        <v>200</v>
      </c>
      <c r="C252" s="5" t="s">
        <v>201</v>
      </c>
      <c r="E252" s="52">
        <v>0</v>
      </c>
      <c r="F252" s="52">
        <v>0</v>
      </c>
      <c r="G252" s="52">
        <v>0</v>
      </c>
      <c r="H252" s="52">
        <v>0</v>
      </c>
    </row>
    <row r="253" spans="1:12" hidden="1" x14ac:dyDescent="0.25">
      <c r="B253" s="47" t="s">
        <v>202</v>
      </c>
      <c r="E253" s="52">
        <f>'Rates and GI'!$D$63</f>
        <v>150</v>
      </c>
      <c r="F253" s="52">
        <f>'Rates and GI'!$D$63</f>
        <v>150</v>
      </c>
      <c r="G253" s="52">
        <f>'Rates and GI'!$D$63</f>
        <v>150</v>
      </c>
      <c r="H253" s="52">
        <f>'Rates and GI'!$D$63</f>
        <v>150</v>
      </c>
    </row>
    <row r="254" spans="1:12" hidden="1" x14ac:dyDescent="0.25">
      <c r="B254" s="6"/>
      <c r="E254" s="52"/>
      <c r="F254" s="52"/>
      <c r="G254" s="44"/>
      <c r="H254" s="44"/>
    </row>
    <row r="255" spans="1:12" hidden="1" x14ac:dyDescent="0.25">
      <c r="B255" s="47" t="s">
        <v>214</v>
      </c>
      <c r="E255" s="52">
        <f>E256*E257</f>
        <v>0</v>
      </c>
      <c r="F255" s="52">
        <f t="shared" ref="F255:H255" si="73">F256*F257</f>
        <v>0</v>
      </c>
      <c r="G255" s="52">
        <f t="shared" si="73"/>
        <v>0</v>
      </c>
      <c r="H255" s="52">
        <f t="shared" si="73"/>
        <v>0</v>
      </c>
    </row>
    <row r="256" spans="1:12" hidden="1" x14ac:dyDescent="0.25">
      <c r="B256" s="47" t="s">
        <v>200</v>
      </c>
      <c r="C256" s="5" t="s">
        <v>201</v>
      </c>
      <c r="E256" s="52">
        <v>0</v>
      </c>
      <c r="F256" s="52">
        <v>0</v>
      </c>
      <c r="G256" s="52">
        <v>0</v>
      </c>
      <c r="H256" s="52">
        <v>0</v>
      </c>
    </row>
    <row r="257" spans="2:8" hidden="1" x14ac:dyDescent="0.25">
      <c r="B257" s="47" t="s">
        <v>202</v>
      </c>
      <c r="E257" s="52">
        <f>'Rates and GI'!$D$64</f>
        <v>20</v>
      </c>
      <c r="F257" s="52">
        <f>'Rates and GI'!$D$64</f>
        <v>20</v>
      </c>
      <c r="G257" s="52">
        <f>'Rates and GI'!$D$64</f>
        <v>20</v>
      </c>
      <c r="H257" s="52">
        <f>'Rates and GI'!$D$64</f>
        <v>20</v>
      </c>
    </row>
    <row r="258" spans="2:8" hidden="1" x14ac:dyDescent="0.25">
      <c r="B258" s="6"/>
      <c r="E258" s="52"/>
      <c r="F258" s="52"/>
      <c r="G258" s="44"/>
      <c r="H258" s="44"/>
    </row>
    <row r="259" spans="2:8" hidden="1" x14ac:dyDescent="0.25">
      <c r="B259" s="5" t="s">
        <v>203</v>
      </c>
      <c r="E259" s="52">
        <f>E260*E261*E262</f>
        <v>0</v>
      </c>
      <c r="F259" s="52">
        <f t="shared" ref="F259:H259" si="74">F260*F261*F262</f>
        <v>0</v>
      </c>
      <c r="G259" s="52">
        <f t="shared" si="74"/>
        <v>0</v>
      </c>
      <c r="H259" s="52">
        <f t="shared" si="74"/>
        <v>0</v>
      </c>
    </row>
    <row r="260" spans="2:8" hidden="1" x14ac:dyDescent="0.25">
      <c r="B260" s="47" t="s">
        <v>215</v>
      </c>
      <c r="E260" s="52"/>
      <c r="F260" s="52">
        <f>'Rates and GI'!$D$66</f>
        <v>300</v>
      </c>
      <c r="G260" s="52">
        <f>'Rates and GI'!$D$66</f>
        <v>300</v>
      </c>
      <c r="H260" s="52">
        <f>'Rates and GI'!$D$66</f>
        <v>300</v>
      </c>
    </row>
    <row r="261" spans="2:8" hidden="1" x14ac:dyDescent="0.25">
      <c r="B261" s="47" t="s">
        <v>216</v>
      </c>
      <c r="E261" s="52">
        <v>0</v>
      </c>
      <c r="F261" s="52">
        <v>0</v>
      </c>
      <c r="G261" s="52">
        <v>0</v>
      </c>
      <c r="H261" s="52">
        <v>0</v>
      </c>
    </row>
    <row r="262" spans="2:8" hidden="1" x14ac:dyDescent="0.25">
      <c r="B262" s="47" t="s">
        <v>217</v>
      </c>
      <c r="E262" s="52">
        <v>0</v>
      </c>
      <c r="F262" s="52">
        <v>0</v>
      </c>
      <c r="G262" s="52">
        <v>0</v>
      </c>
      <c r="H262" s="52">
        <v>0</v>
      </c>
    </row>
    <row r="263" spans="2:8" hidden="1" x14ac:dyDescent="0.25">
      <c r="E263" s="52"/>
      <c r="F263" s="52"/>
      <c r="G263" s="44"/>
      <c r="H263" s="44"/>
    </row>
    <row r="264" spans="2:8" hidden="1" x14ac:dyDescent="0.25">
      <c r="B264" s="5" t="s">
        <v>196</v>
      </c>
      <c r="E264" s="52">
        <f>E265+E266*E267</f>
        <v>0</v>
      </c>
      <c r="F264" s="52">
        <f>F265+F266*F267</f>
        <v>0</v>
      </c>
      <c r="G264" s="52">
        <f>G265+G266*G267</f>
        <v>0</v>
      </c>
      <c r="H264" s="52">
        <f>H265+H266*H267</f>
        <v>0</v>
      </c>
    </row>
    <row r="265" spans="2:8" hidden="1" x14ac:dyDescent="0.25">
      <c r="B265" s="47" t="s">
        <v>172</v>
      </c>
      <c r="E265" s="52"/>
      <c r="F265" s="52">
        <f>'Rates and GI'!D57*0</f>
        <v>0</v>
      </c>
      <c r="G265" s="44"/>
      <c r="H265" s="44"/>
    </row>
    <row r="266" spans="2:8" hidden="1" x14ac:dyDescent="0.25">
      <c r="B266" s="47" t="s">
        <v>178</v>
      </c>
      <c r="E266" s="52"/>
      <c r="F266" s="75">
        <f>'Rates and GI'!$D$58</f>
        <v>0.05</v>
      </c>
      <c r="G266" s="75">
        <f>'Rates and GI'!$D$58</f>
        <v>0.05</v>
      </c>
      <c r="H266" s="75">
        <f>'Rates and GI'!$D$58</f>
        <v>0.05</v>
      </c>
    </row>
    <row r="267" spans="2:8" hidden="1" x14ac:dyDescent="0.25">
      <c r="B267" s="47" t="s">
        <v>179</v>
      </c>
      <c r="E267" s="52"/>
      <c r="F267" s="52">
        <v>0</v>
      </c>
      <c r="G267" s="44">
        <v>0</v>
      </c>
      <c r="H267" s="44"/>
    </row>
  </sheetData>
  <pageMargins left="0.7" right="0.7" top="0.75" bottom="0.75" header="0.3" footer="0.3"/>
  <pageSetup paperSize="9" scale="54" fitToHeight="0" orientation="portrait" horizontalDpi="1200" verticalDpi="1200" r:id="rId1"/>
  <rowBreaks count="1" manualBreakCount="1">
    <brk id="6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71"/>
  <sheetViews>
    <sheetView topLeftCell="A1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51.75" x14ac:dyDescent="0.3">
      <c r="A1" s="227">
        <v>45</v>
      </c>
      <c r="B1" s="228" t="s">
        <v>427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1624.951125</v>
      </c>
      <c r="E5" s="52">
        <f>E63</f>
        <v>795.375</v>
      </c>
      <c r="F5" s="52">
        <f t="shared" ref="F5:H5" si="1">F63</f>
        <v>829.57612499999993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1624.951125</v>
      </c>
      <c r="E7" s="55">
        <f>SUBTOTAL(9,E5:E6)</f>
        <v>795.375</v>
      </c>
      <c r="F7" s="55">
        <f>SUBTOTAL(9,F5:F6)</f>
        <v>829.57612499999993</v>
      </c>
      <c r="G7" s="55">
        <f>SUBTOTAL(9,G5:G6)</f>
        <v>0</v>
      </c>
      <c r="H7" s="55">
        <f>SUBTOTAL(9,H5:H6)</f>
        <v>0</v>
      </c>
      <c r="I7" s="70"/>
    </row>
    <row r="8" spans="1:12" ht="5.25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.7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15625</v>
      </c>
      <c r="E20" s="52">
        <f>E99</f>
        <v>0</v>
      </c>
      <c r="F20" s="52">
        <f t="shared" ref="F20:H20" si="10">F99</f>
        <v>5000</v>
      </c>
      <c r="G20" s="52">
        <f t="shared" si="10"/>
        <v>5312.5</v>
      </c>
      <c r="H20" s="52">
        <f t="shared" si="10"/>
        <v>5312.5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15625</v>
      </c>
      <c r="E22" s="55">
        <f t="shared" ref="E22:H22" si="12">SUBTOTAL(9,E20:E21)</f>
        <v>0</v>
      </c>
      <c r="F22" s="55">
        <f t="shared" si="12"/>
        <v>5000</v>
      </c>
      <c r="G22" s="55">
        <f t="shared" si="12"/>
        <v>5312.5</v>
      </c>
      <c r="H22" s="55">
        <f t="shared" si="12"/>
        <v>5312.5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E107</f>
        <v>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1300</v>
      </c>
      <c r="E26" s="52">
        <f>E132</f>
        <v>0</v>
      </c>
      <c r="F26" s="52">
        <f>F132</f>
        <v>1300</v>
      </c>
      <c r="G26" s="52">
        <f>G132</f>
        <v>0</v>
      </c>
      <c r="H26" s="52">
        <f>H132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1300</v>
      </c>
      <c r="E28" s="55">
        <f t="shared" ref="E28:H28" si="15">SUBTOTAL(9,E25:E27)</f>
        <v>0</v>
      </c>
      <c r="F28" s="55">
        <f t="shared" si="15"/>
        <v>1300</v>
      </c>
      <c r="G28" s="55">
        <f t="shared" si="15"/>
        <v>0</v>
      </c>
      <c r="H28" s="55">
        <f t="shared" si="15"/>
        <v>0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6.7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0">SUM(E46:H46)</f>
        <v>0</v>
      </c>
      <c r="E46" s="52">
        <f>E147</f>
        <v>0</v>
      </c>
      <c r="F46" s="52">
        <f t="shared" ref="F46:H46" si="21">F147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si="20"/>
        <v>700</v>
      </c>
      <c r="E47" s="52">
        <f>E137</f>
        <v>0</v>
      </c>
      <c r="F47" s="52">
        <f t="shared" ref="F47:H47" si="22">F137</f>
        <v>500</v>
      </c>
      <c r="G47" s="52">
        <f t="shared" si="22"/>
        <v>100</v>
      </c>
      <c r="H47" s="52">
        <f t="shared" si="22"/>
        <v>100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700</v>
      </c>
      <c r="E48" s="55">
        <f>SUBTOTAL(9,E46:E47)</f>
        <v>0</v>
      </c>
      <c r="F48" s="55">
        <f>SUBTOTAL(9,F46:F47)</f>
        <v>500</v>
      </c>
      <c r="G48" s="55">
        <f>SUBTOTAL(9,G46:G47)</f>
        <v>100</v>
      </c>
      <c r="H48" s="55">
        <f>SUBTOTAL(9,H46:H47)</f>
        <v>100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19249.951125</v>
      </c>
      <c r="E50" s="57">
        <f>SUBTOTAL(9,E5:E48)</f>
        <v>795.375</v>
      </c>
      <c r="F50" s="57">
        <f>SUBTOTAL(9,F5:F48)</f>
        <v>7629.5761249999996</v>
      </c>
      <c r="G50" s="57">
        <f>SUBTOTAL(9,G5:G48)</f>
        <v>5412.5</v>
      </c>
      <c r="H50" s="57">
        <f>SUBTOTAL(9,H5:H48)</f>
        <v>5412.5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795.375</v>
      </c>
      <c r="F63" s="52">
        <f t="shared" ref="F63:H63" si="23">F64*F65</f>
        <v>829.57612499999993</v>
      </c>
      <c r="G63" s="52">
        <f t="shared" si="23"/>
        <v>0</v>
      </c>
      <c r="H63" s="52">
        <f t="shared" si="23"/>
        <v>0</v>
      </c>
    </row>
    <row r="64" spans="1:8" x14ac:dyDescent="0.25">
      <c r="A64" s="9"/>
      <c r="B64" s="9" t="s">
        <v>129</v>
      </c>
      <c r="C64" s="9" t="s">
        <v>128</v>
      </c>
      <c r="E64" s="52">
        <v>45</v>
      </c>
      <c r="F64" s="52">
        <v>45</v>
      </c>
      <c r="G64" s="52">
        <v>0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4">F68*F69</f>
        <v>0</v>
      </c>
      <c r="G67" s="52">
        <f t="shared" si="24"/>
        <v>0</v>
      </c>
      <c r="H67" s="52">
        <f t="shared" si="24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5">F88*F89+F91*F92</f>
        <v>0</v>
      </c>
      <c r="G87" s="60">
        <f t="shared" si="25"/>
        <v>0</v>
      </c>
      <c r="H87" s="60">
        <f t="shared" si="25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6">F96*F97</f>
        <v>0</v>
      </c>
      <c r="G95" s="60">
        <f t="shared" si="26"/>
        <v>0</v>
      </c>
      <c r="H95" s="60">
        <f t="shared" si="26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/>
    <row r="99" spans="1:12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7">F100*F101+F102*F103+F104*F105</f>
        <v>5000</v>
      </c>
      <c r="G99" s="60">
        <f t="shared" si="27"/>
        <v>5312.5</v>
      </c>
      <c r="H99" s="60">
        <f t="shared" si="27"/>
        <v>5312.5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x14ac:dyDescent="0.25">
      <c r="B104" s="45" t="s">
        <v>272</v>
      </c>
      <c r="C104" s="5" t="s">
        <v>155</v>
      </c>
      <c r="E104" s="52">
        <f>Training!$C$34</f>
        <v>62.5</v>
      </c>
      <c r="F104" s="52">
        <f>Training!$C$34</f>
        <v>62.5</v>
      </c>
      <c r="G104" s="52">
        <f>Training!$C$34</f>
        <v>62.5</v>
      </c>
      <c r="H104" s="52">
        <f>Training!$C$34</f>
        <v>62.5</v>
      </c>
    </row>
    <row r="105" spans="1:12" x14ac:dyDescent="0.25">
      <c r="B105" s="45" t="s">
        <v>151</v>
      </c>
      <c r="E105" s="52">
        <v>0</v>
      </c>
      <c r="F105" s="52">
        <f>16*5</f>
        <v>80</v>
      </c>
      <c r="G105" s="52">
        <f>17*5</f>
        <v>85</v>
      </c>
      <c r="H105" s="52">
        <f>17*5</f>
        <v>85</v>
      </c>
    </row>
    <row r="106" spans="1:12" x14ac:dyDescent="0.25">
      <c r="B106" s="45"/>
    </row>
    <row r="107" spans="1:12" hidden="1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29">F108*F109</f>
        <v>0</v>
      </c>
      <c r="G107" s="60">
        <f t="shared" si="29"/>
        <v>0</v>
      </c>
      <c r="H107" s="60">
        <f t="shared" si="29"/>
        <v>0</v>
      </c>
    </row>
    <row r="108" spans="1:12" s="7" customFormat="1" hidden="1" x14ac:dyDescent="0.25">
      <c r="A108" s="5"/>
      <c r="B108" s="45" t="s">
        <v>54</v>
      </c>
      <c r="C108" s="5"/>
      <c r="D108" s="52"/>
      <c r="E108" s="52">
        <v>0</v>
      </c>
      <c r="F108" s="52">
        <v>0</v>
      </c>
      <c r="G108" s="52"/>
      <c r="H108" s="52"/>
      <c r="I108" s="6"/>
      <c r="J108" s="6"/>
      <c r="K108" s="6"/>
      <c r="L108" s="6"/>
    </row>
    <row r="109" spans="1:12" s="7" customFormat="1" hidden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6"/>
      <c r="J109" s="6"/>
      <c r="K109" s="6"/>
      <c r="L109" s="6"/>
    </row>
    <row r="110" spans="1:12" hidden="1" x14ac:dyDescent="0.25"/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hidden="1" x14ac:dyDescent="0.25"/>
    <row r="117" spans="1:12" hidden="1" x14ac:dyDescent="0.25">
      <c r="A117" s="58"/>
      <c r="B117" s="58" t="s">
        <v>26</v>
      </c>
      <c r="C117" s="58"/>
      <c r="D117" s="60"/>
      <c r="E117" s="60"/>
      <c r="F117" s="60"/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63" t="s">
        <v>62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166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165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hidden="1" x14ac:dyDescent="0.25"/>
    <row r="128" spans="1:12" x14ac:dyDescent="0.25">
      <c r="A128" s="58"/>
      <c r="B128" s="58" t="s">
        <v>25</v>
      </c>
      <c r="C128" s="58"/>
      <c r="D128" s="60"/>
      <c r="E128" s="60"/>
      <c r="F128" s="60"/>
      <c r="G128" s="60"/>
      <c r="H128" s="60"/>
    </row>
    <row r="129" spans="1:12" s="5" customFormat="1" hidden="1" x14ac:dyDescent="0.25">
      <c r="B129" s="47" t="s">
        <v>64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52"/>
      <c r="E130" s="52"/>
      <c r="F130" s="52"/>
      <c r="G130" s="44"/>
      <c r="H130" s="44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x14ac:dyDescent="0.25">
      <c r="B132" s="5" t="s">
        <v>173</v>
      </c>
      <c r="D132" s="52"/>
      <c r="E132" s="52">
        <f>E133+E134*E135</f>
        <v>0</v>
      </c>
      <c r="F132" s="52">
        <f>F133+F134*F135</f>
        <v>1300</v>
      </c>
      <c r="G132" s="52">
        <f t="shared" ref="G132:H132" si="30">G133+G134*G135</f>
        <v>0</v>
      </c>
      <c r="H132" s="52">
        <f t="shared" si="30"/>
        <v>0</v>
      </c>
    </row>
    <row r="133" spans="1:12" x14ac:dyDescent="0.25">
      <c r="B133" s="47" t="s">
        <v>172</v>
      </c>
      <c r="F133" s="52">
        <f>'Rates and GI'!D57*2</f>
        <v>300</v>
      </c>
    </row>
    <row r="134" spans="1:12" x14ac:dyDescent="0.25">
      <c r="B134" s="47" t="s">
        <v>178</v>
      </c>
      <c r="E134" s="68">
        <f>'Rates and GI'!$D$58</f>
        <v>0.05</v>
      </c>
      <c r="F134" s="68">
        <f>'Rates and GI'!$D$58</f>
        <v>0.05</v>
      </c>
      <c r="G134" s="68">
        <f>'Rates and GI'!$D$58</f>
        <v>0.05</v>
      </c>
      <c r="H134" s="68">
        <f>'Rates and GI'!$D$58</f>
        <v>0.05</v>
      </c>
    </row>
    <row r="135" spans="1:12" x14ac:dyDescent="0.25">
      <c r="B135" s="47" t="s">
        <v>179</v>
      </c>
      <c r="E135" s="52">
        <v>0</v>
      </c>
      <c r="F135" s="52">
        <f>10000*2</f>
        <v>20000</v>
      </c>
      <c r="G135" s="52"/>
      <c r="H135" s="52"/>
    </row>
    <row r="136" spans="1:12" s="5" customFormat="1" x14ac:dyDescent="0.25">
      <c r="B136" s="47"/>
      <c r="D136" s="52"/>
      <c r="E136" s="52"/>
      <c r="F136" s="52"/>
      <c r="G136" s="44"/>
      <c r="H136" s="44"/>
      <c r="I136" s="6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1">F138*F139+F140*F141++F142*F143+F144*F145</f>
        <v>500</v>
      </c>
      <c r="G137" s="60">
        <f t="shared" si="31"/>
        <v>100</v>
      </c>
      <c r="H137" s="60">
        <f t="shared" si="31"/>
        <v>100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x14ac:dyDescent="0.25">
      <c r="B142" s="71" t="s">
        <v>183</v>
      </c>
      <c r="E142" s="52">
        <v>0</v>
      </c>
      <c r="F142" s="52">
        <v>2</v>
      </c>
      <c r="G142" s="52">
        <v>0</v>
      </c>
      <c r="H142" s="52">
        <v>0</v>
      </c>
    </row>
    <row r="143" spans="1:12" ht="27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x14ac:dyDescent="0.25">
      <c r="B144" s="47" t="s">
        <v>354</v>
      </c>
      <c r="D144" s="52"/>
      <c r="E144" s="52">
        <v>0</v>
      </c>
      <c r="F144" s="52">
        <v>2</v>
      </c>
      <c r="G144" s="52">
        <v>2</v>
      </c>
      <c r="H144" s="52">
        <v>2</v>
      </c>
      <c r="I144" s="6"/>
      <c r="J144" s="6"/>
      <c r="K144" s="6"/>
      <c r="L144" s="6"/>
    </row>
    <row r="145" spans="1:12" s="5" customFormat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6" spans="1:12" x14ac:dyDescent="0.25">
      <c r="A146" s="58"/>
      <c r="B146" s="58"/>
      <c r="C146" s="58"/>
      <c r="D146" s="60"/>
      <c r="E146" s="60"/>
      <c r="F146" s="60"/>
      <c r="G146" s="60"/>
      <c r="H146" s="60"/>
    </row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2">F148+F151+F154+F163+F168</f>
        <v>0</v>
      </c>
      <c r="G147" s="60">
        <f t="shared" si="32"/>
        <v>0</v>
      </c>
      <c r="H147" s="60">
        <f t="shared" si="32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3">H149+H152*H153</f>
        <v>0</v>
      </c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4">F152*F153</f>
        <v>0</v>
      </c>
      <c r="G151" s="52">
        <f t="shared" si="34"/>
        <v>0</v>
      </c>
      <c r="H151" s="52">
        <f t="shared" si="34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5">F155+F159</f>
        <v>0</v>
      </c>
      <c r="G154" s="52">
        <f t="shared" si="35"/>
        <v>0</v>
      </c>
      <c r="H154" s="52">
        <f t="shared" si="35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6">F156*F157</f>
        <v>0</v>
      </c>
      <c r="G155" s="52">
        <f t="shared" si="36"/>
        <v>0</v>
      </c>
      <c r="H155" s="52">
        <f t="shared" si="36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37">F160*F161</f>
        <v>0</v>
      </c>
      <c r="G159" s="52">
        <f t="shared" si="37"/>
        <v>0</v>
      </c>
      <c r="H159" s="52">
        <f t="shared" si="37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2:8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2:8" hidden="1" x14ac:dyDescent="0.25">
      <c r="B162" s="6"/>
    </row>
    <row r="163" spans="2:8" hidden="1" x14ac:dyDescent="0.25">
      <c r="B163" s="5" t="s">
        <v>203</v>
      </c>
      <c r="E163" s="52">
        <f>E164*E165*E166</f>
        <v>0</v>
      </c>
      <c r="F163" s="52">
        <f t="shared" ref="F163:H163" si="38">F164*F165*F166</f>
        <v>0</v>
      </c>
      <c r="G163" s="52">
        <f t="shared" si="38"/>
        <v>0</v>
      </c>
      <c r="H163" s="52">
        <f t="shared" si="38"/>
        <v>0</v>
      </c>
    </row>
    <row r="164" spans="2:8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2:8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2:8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2:8" hidden="1" x14ac:dyDescent="0.25"/>
    <row r="168" spans="2:8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2:8" hidden="1" x14ac:dyDescent="0.25">
      <c r="B169" s="47" t="s">
        <v>172</v>
      </c>
      <c r="F169" s="52">
        <f>'Rates and GI'!D57*0</f>
        <v>0</v>
      </c>
    </row>
    <row r="170" spans="2:8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2:8" hidden="1" x14ac:dyDescent="0.25">
      <c r="B171" s="47" t="s">
        <v>179</v>
      </c>
      <c r="F171" s="52">
        <v>0</v>
      </c>
      <c r="G171" s="44">
        <v>0</v>
      </c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175"/>
  <sheetViews>
    <sheetView topLeftCell="A13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17.25" x14ac:dyDescent="0.3">
      <c r="A1" s="227">
        <v>46</v>
      </c>
      <c r="B1" s="228" t="s">
        <v>277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758.31052499999998</v>
      </c>
      <c r="E5" s="52">
        <f>E63</f>
        <v>371.17500000000001</v>
      </c>
      <c r="F5" s="52">
        <f t="shared" ref="F5:H5" si="1">F63</f>
        <v>387.13552499999997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758.31052499999998</v>
      </c>
      <c r="E7" s="55">
        <f>SUBTOTAL(9,E5:E6)</f>
        <v>371.17500000000001</v>
      </c>
      <c r="F7" s="55">
        <f>SUBTOTAL(9,F5:F6)</f>
        <v>387.13552499999997</v>
      </c>
      <c r="G7" s="55">
        <f>SUBTOTAL(9,G5:G6)</f>
        <v>0</v>
      </c>
      <c r="H7" s="55">
        <f>SUBTOTAL(9,H5:H6)</f>
        <v>0</v>
      </c>
      <c r="I7" s="70"/>
    </row>
    <row r="8" spans="1:12" ht="6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4.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5.25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13750</v>
      </c>
      <c r="E20" s="52">
        <f>E99</f>
        <v>0</v>
      </c>
      <c r="F20" s="52">
        <f t="shared" ref="F20:H20" si="10">F99</f>
        <v>2500</v>
      </c>
      <c r="G20" s="52">
        <f t="shared" si="10"/>
        <v>3750</v>
      </c>
      <c r="H20" s="52">
        <f t="shared" si="10"/>
        <v>7500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13750</v>
      </c>
      <c r="E22" s="55">
        <f t="shared" ref="E22:H22" si="12">SUBTOTAL(9,E20:E21)</f>
        <v>0</v>
      </c>
      <c r="F22" s="55">
        <f t="shared" si="12"/>
        <v>2500</v>
      </c>
      <c r="G22" s="55">
        <f t="shared" si="12"/>
        <v>3750</v>
      </c>
      <c r="H22" s="55">
        <f t="shared" si="12"/>
        <v>7500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E107</f>
        <v>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E132</f>
        <v>0</v>
      </c>
      <c r="F26" s="52">
        <f>F132</f>
        <v>0</v>
      </c>
      <c r="G26" s="52">
        <f>G132</f>
        <v>0</v>
      </c>
      <c r="H26" s="52">
        <f>H132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5.2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7000</v>
      </c>
      <c r="E32" s="52">
        <f>E117</f>
        <v>7000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7000</v>
      </c>
      <c r="E35" s="55">
        <f t="shared" ref="E35:H35" si="17">SUBTOTAL(9,E31:E34)</f>
        <v>7000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1931.72</v>
      </c>
      <c r="E40" s="52">
        <f>E174</f>
        <v>482.93</v>
      </c>
      <c r="F40" s="52">
        <f t="shared" ref="F40:H40" si="19">F174</f>
        <v>482.93</v>
      </c>
      <c r="G40" s="52">
        <f t="shared" si="19"/>
        <v>482.93</v>
      </c>
      <c r="H40" s="52">
        <f t="shared" si="19"/>
        <v>482.93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1931.72</v>
      </c>
      <c r="E43" s="55">
        <f t="shared" ref="E43:H43" si="20">SUBTOTAL(9,E38:E42)</f>
        <v>482.93</v>
      </c>
      <c r="F43" s="55">
        <f t="shared" si="20"/>
        <v>482.93</v>
      </c>
      <c r="G43" s="55">
        <f t="shared" si="20"/>
        <v>482.93</v>
      </c>
      <c r="H43" s="55">
        <f t="shared" si="20"/>
        <v>482.93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1">SUM(E46:H46)</f>
        <v>0</v>
      </c>
      <c r="E46" s="52">
        <f>E147</f>
        <v>0</v>
      </c>
      <c r="F46" s="52">
        <f t="shared" ref="F46:H46" si="22">F147</f>
        <v>0</v>
      </c>
      <c r="G46" s="52">
        <f t="shared" si="22"/>
        <v>0</v>
      </c>
      <c r="H46" s="52">
        <f t="shared" si="22"/>
        <v>0</v>
      </c>
    </row>
    <row r="47" spans="1:12" x14ac:dyDescent="0.25">
      <c r="A47" s="3"/>
      <c r="B47" s="3" t="s">
        <v>21</v>
      </c>
      <c r="C47" s="3"/>
      <c r="D47" s="52">
        <f t="shared" si="21"/>
        <v>50</v>
      </c>
      <c r="E47" s="52">
        <f>E137</f>
        <v>0</v>
      </c>
      <c r="F47" s="52">
        <f t="shared" ref="F47:H47" si="23">F137</f>
        <v>50</v>
      </c>
      <c r="G47" s="52">
        <f t="shared" si="23"/>
        <v>0</v>
      </c>
      <c r="H47" s="52">
        <f t="shared" si="23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50</v>
      </c>
      <c r="E48" s="55">
        <f>SUBTOTAL(9,E46:E47)</f>
        <v>0</v>
      </c>
      <c r="F48" s="55">
        <f>SUBTOTAL(9,F46:F47)</f>
        <v>50</v>
      </c>
      <c r="G48" s="55">
        <f>SUBTOTAL(9,G46:G47)</f>
        <v>0</v>
      </c>
      <c r="H48" s="55">
        <f>SUBTOTAL(9,H46:H47)</f>
        <v>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23490.030525000002</v>
      </c>
      <c r="E50" s="57">
        <f>SUBTOTAL(9,E5:E48)</f>
        <v>7854.1050000000005</v>
      </c>
      <c r="F50" s="57">
        <f>SUBTOTAL(9,F5:F48)</f>
        <v>3420.065525</v>
      </c>
      <c r="G50" s="57">
        <f>SUBTOTAL(9,G5:G48)</f>
        <v>4232.93</v>
      </c>
      <c r="H50" s="57">
        <f>SUBTOTAL(9,H5:H48)</f>
        <v>7982.93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371.17500000000001</v>
      </c>
      <c r="F63" s="52">
        <f t="shared" ref="F63:H63" si="24">F64*F65</f>
        <v>387.13552499999997</v>
      </c>
      <c r="G63" s="52">
        <f t="shared" si="24"/>
        <v>0</v>
      </c>
      <c r="H63" s="52">
        <f t="shared" si="24"/>
        <v>0</v>
      </c>
    </row>
    <row r="64" spans="1:8" x14ac:dyDescent="0.25">
      <c r="A64" s="9"/>
      <c r="B64" s="9" t="s">
        <v>129</v>
      </c>
      <c r="C64" s="9" t="s">
        <v>128</v>
      </c>
      <c r="E64" s="52">
        <v>21</v>
      </c>
      <c r="F64" s="52">
        <v>21</v>
      </c>
      <c r="G64" s="52">
        <v>0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5">F68*F69</f>
        <v>0</v>
      </c>
      <c r="G67" s="52">
        <f t="shared" si="25"/>
        <v>0</v>
      </c>
      <c r="H67" s="52">
        <f t="shared" si="25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6">F88*F89+F91*F92</f>
        <v>0</v>
      </c>
      <c r="G87" s="60">
        <f t="shared" si="26"/>
        <v>0</v>
      </c>
      <c r="H87" s="60">
        <f t="shared" si="26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7">F96*F97</f>
        <v>0</v>
      </c>
      <c r="G95" s="60">
        <f t="shared" si="27"/>
        <v>0</v>
      </c>
      <c r="H95" s="60">
        <f t="shared" si="27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/>
    <row r="99" spans="1:12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8">F100*F101+F102*F103+F104*F105</f>
        <v>2500</v>
      </c>
      <c r="G99" s="60">
        <f t="shared" si="28"/>
        <v>3750</v>
      </c>
      <c r="H99" s="60">
        <f t="shared" si="28"/>
        <v>7500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9">G88</f>
        <v>0</v>
      </c>
      <c r="H101" s="52">
        <f t="shared" si="29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x14ac:dyDescent="0.25">
      <c r="B104" s="45" t="s">
        <v>272</v>
      </c>
      <c r="C104" s="5" t="s">
        <v>155</v>
      </c>
      <c r="E104" s="52">
        <f>Training!$C$34*(100%-Training!$C$38)</f>
        <v>50</v>
      </c>
      <c r="F104" s="52">
        <f>Training!$C$34*(100%-Training!$C$38)</f>
        <v>50</v>
      </c>
      <c r="G104" s="52">
        <f>Training!$C$34*(100%-Training!$C$38)</f>
        <v>50</v>
      </c>
      <c r="H104" s="52">
        <f>Training!$C$34*(100%-Training!$C$38)</f>
        <v>50</v>
      </c>
    </row>
    <row r="105" spans="1:12" x14ac:dyDescent="0.25">
      <c r="B105" s="45" t="s">
        <v>151</v>
      </c>
      <c r="E105" s="52">
        <v>0</v>
      </c>
      <c r="F105" s="52">
        <v>50</v>
      </c>
      <c r="G105" s="52">
        <v>75</v>
      </c>
      <c r="H105" s="52">
        <v>150</v>
      </c>
    </row>
    <row r="106" spans="1:12" x14ac:dyDescent="0.25">
      <c r="B106" s="45"/>
    </row>
    <row r="107" spans="1:12" hidden="1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30">F108*F109</f>
        <v>0</v>
      </c>
      <c r="G107" s="60">
        <f t="shared" si="30"/>
        <v>0</v>
      </c>
      <c r="H107" s="60">
        <f t="shared" si="30"/>
        <v>0</v>
      </c>
      <c r="I107" s="70"/>
    </row>
    <row r="108" spans="1:12" s="7" customFormat="1" hidden="1" x14ac:dyDescent="0.25">
      <c r="A108" s="5"/>
      <c r="B108" s="45" t="s">
        <v>54</v>
      </c>
      <c r="C108" s="5"/>
      <c r="D108" s="52"/>
      <c r="E108" s="52">
        <v>0</v>
      </c>
      <c r="F108" s="52">
        <v>0</v>
      </c>
      <c r="G108" s="52"/>
      <c r="H108" s="52"/>
      <c r="I108" s="70"/>
      <c r="J108" s="6"/>
      <c r="K108" s="6"/>
      <c r="L108" s="6"/>
    </row>
    <row r="109" spans="1:12" s="7" customFormat="1" hidden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70"/>
      <c r="J109" s="6"/>
      <c r="K109" s="6"/>
      <c r="L109" s="6"/>
    </row>
    <row r="110" spans="1:12" hidden="1" x14ac:dyDescent="0.25">
      <c r="I110" s="70"/>
    </row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hidden="1" x14ac:dyDescent="0.25"/>
    <row r="117" spans="1:12" x14ac:dyDescent="0.25">
      <c r="A117" s="58"/>
      <c r="B117" s="58" t="s">
        <v>26</v>
      </c>
      <c r="C117" s="58"/>
      <c r="D117" s="60"/>
      <c r="E117" s="60">
        <f>E122*E123</f>
        <v>7000</v>
      </c>
      <c r="F117" s="60"/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x14ac:dyDescent="0.25">
      <c r="B121" s="63" t="s">
        <v>140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x14ac:dyDescent="0.25">
      <c r="B122" s="47" t="s">
        <v>166</v>
      </c>
      <c r="D122" s="52"/>
      <c r="E122" s="52">
        <f>'Rates and GI'!D39</f>
        <v>350</v>
      </c>
      <c r="F122" s="52"/>
      <c r="G122" s="44"/>
      <c r="H122" s="44"/>
      <c r="I122" s="6"/>
      <c r="J122" s="6"/>
      <c r="K122" s="6"/>
      <c r="L122" s="6"/>
    </row>
    <row r="123" spans="1:12" s="5" customFormat="1" x14ac:dyDescent="0.25">
      <c r="B123" s="47" t="s">
        <v>165</v>
      </c>
      <c r="D123" s="52"/>
      <c r="E123" s="52">
        <v>20</v>
      </c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hidden="1" x14ac:dyDescent="0.25"/>
    <row r="128" spans="1:12" hidden="1" x14ac:dyDescent="0.25">
      <c r="A128" s="58"/>
      <c r="B128" s="58" t="s">
        <v>25</v>
      </c>
      <c r="C128" s="58"/>
      <c r="D128" s="60"/>
      <c r="E128" s="60"/>
      <c r="F128" s="60"/>
      <c r="G128" s="60"/>
      <c r="H128" s="60"/>
    </row>
    <row r="129" spans="1:12" s="5" customFormat="1" hidden="1" x14ac:dyDescent="0.25">
      <c r="B129" s="47" t="s">
        <v>64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52"/>
      <c r="E130" s="52"/>
      <c r="F130" s="52"/>
      <c r="G130" s="44"/>
      <c r="H130" s="44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5" t="s">
        <v>173</v>
      </c>
      <c r="D132" s="52"/>
      <c r="E132" s="52">
        <f>E133+E134*E135</f>
        <v>0</v>
      </c>
      <c r="F132" s="52">
        <f>F133+F134*F135</f>
        <v>0</v>
      </c>
      <c r="G132" s="52">
        <f t="shared" ref="G132:H132" si="31">G133+G134*G135</f>
        <v>0</v>
      </c>
      <c r="H132" s="52">
        <f t="shared" si="31"/>
        <v>0</v>
      </c>
    </row>
    <row r="133" spans="1:12" hidden="1" x14ac:dyDescent="0.25">
      <c r="B133" s="47" t="s">
        <v>172</v>
      </c>
      <c r="F133" s="52">
        <f>'Rates and GI'!D57*0</f>
        <v>0</v>
      </c>
    </row>
    <row r="134" spans="1:12" hidden="1" x14ac:dyDescent="0.25">
      <c r="B134" s="47" t="s">
        <v>178</v>
      </c>
      <c r="E134" s="68">
        <f>'Rates and GI'!$D$58</f>
        <v>0.05</v>
      </c>
      <c r="F134" s="68">
        <f>'Rates and GI'!$D$58</f>
        <v>0.05</v>
      </c>
      <c r="G134" s="68">
        <f>'Rates and GI'!$D$58</f>
        <v>0.05</v>
      </c>
      <c r="H134" s="68">
        <f>'Rates and GI'!$D$58</f>
        <v>0.05</v>
      </c>
    </row>
    <row r="135" spans="1:12" hidden="1" x14ac:dyDescent="0.25">
      <c r="B135" s="47" t="s">
        <v>179</v>
      </c>
      <c r="E135" s="52">
        <v>0</v>
      </c>
      <c r="F135" s="52">
        <v>0</v>
      </c>
      <c r="G135" s="52"/>
      <c r="H135" s="52"/>
    </row>
    <row r="136" spans="1:12" s="5" customFormat="1" hidden="1" x14ac:dyDescent="0.25">
      <c r="B136" s="47"/>
      <c r="D136" s="52"/>
      <c r="E136" s="52"/>
      <c r="F136" s="52"/>
      <c r="G136" s="44"/>
      <c r="H136" s="44"/>
      <c r="I136" s="6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2">F138*F139+F140*F141++F142*F143+F144*F145</f>
        <v>50</v>
      </c>
      <c r="G137" s="60">
        <f t="shared" si="32"/>
        <v>0</v>
      </c>
      <c r="H137" s="60">
        <f t="shared" si="32"/>
        <v>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x14ac:dyDescent="0.25">
      <c r="B144" s="47" t="s">
        <v>354</v>
      </c>
      <c r="D144" s="52"/>
      <c r="E144" s="52">
        <v>0</v>
      </c>
      <c r="F144" s="52">
        <v>1</v>
      </c>
      <c r="G144" s="52">
        <v>0</v>
      </c>
      <c r="H144" s="52">
        <v>0</v>
      </c>
      <c r="I144" s="6"/>
      <c r="J144" s="6"/>
      <c r="K144" s="6"/>
      <c r="L144" s="6"/>
    </row>
    <row r="145" spans="1:12" s="5" customFormat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3">F148+F151+F154+F163+F168</f>
        <v>0</v>
      </c>
      <c r="G147" s="60">
        <f t="shared" si="33"/>
        <v>0</v>
      </c>
      <c r="H147" s="60">
        <f t="shared" si="33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4">H149+H152*H153</f>
        <v>0</v>
      </c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5">F152*F153</f>
        <v>0</v>
      </c>
      <c r="G151" s="52">
        <f t="shared" si="35"/>
        <v>0</v>
      </c>
      <c r="H151" s="52">
        <f t="shared" si="35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6">F155+F159</f>
        <v>0</v>
      </c>
      <c r="G154" s="52">
        <f t="shared" si="36"/>
        <v>0</v>
      </c>
      <c r="H154" s="52">
        <f t="shared" si="36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7">F156*F157</f>
        <v>0</v>
      </c>
      <c r="G155" s="52">
        <f t="shared" si="37"/>
        <v>0</v>
      </c>
      <c r="H155" s="52">
        <f t="shared" si="37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38">F160*F161</f>
        <v>0</v>
      </c>
      <c r="G159" s="52">
        <f t="shared" si="38"/>
        <v>0</v>
      </c>
      <c r="H159" s="52">
        <f t="shared" si="38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1:9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1:9" hidden="1" x14ac:dyDescent="0.25">
      <c r="B162" s="6"/>
    </row>
    <row r="163" spans="1:9" hidden="1" x14ac:dyDescent="0.25">
      <c r="B163" s="5" t="s">
        <v>203</v>
      </c>
      <c r="E163" s="52">
        <f>E164*E165*E166</f>
        <v>0</v>
      </c>
      <c r="F163" s="52">
        <f t="shared" ref="F163:H163" si="39">F164*F165*F166</f>
        <v>0</v>
      </c>
      <c r="G163" s="52">
        <f t="shared" si="39"/>
        <v>0</v>
      </c>
      <c r="H163" s="52">
        <f t="shared" si="39"/>
        <v>0</v>
      </c>
    </row>
    <row r="164" spans="1:9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1:9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1:9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1:9" hidden="1" x14ac:dyDescent="0.25"/>
    <row r="168" spans="1:9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1:9" hidden="1" x14ac:dyDescent="0.25">
      <c r="B169" s="47" t="s">
        <v>172</v>
      </c>
      <c r="F169" s="52">
        <f>'Rates and GI'!D57*0</f>
        <v>0</v>
      </c>
    </row>
    <row r="170" spans="1:9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1:9" hidden="1" x14ac:dyDescent="0.25">
      <c r="B171" s="47" t="s">
        <v>179</v>
      </c>
      <c r="F171" s="52">
        <v>0</v>
      </c>
      <c r="G171" s="44">
        <v>0</v>
      </c>
    </row>
    <row r="172" spans="1:9" hidden="1" x14ac:dyDescent="0.25"/>
    <row r="173" spans="1:9" hidden="1" x14ac:dyDescent="0.25"/>
    <row r="174" spans="1:9" x14ac:dyDescent="0.25">
      <c r="A174" s="58"/>
      <c r="B174" s="58" t="s">
        <v>19</v>
      </c>
      <c r="C174" s="58"/>
      <c r="D174" s="60"/>
      <c r="E174" s="60">
        <f>1000*usd</f>
        <v>482.93</v>
      </c>
      <c r="F174" s="60">
        <f>1000*usd</f>
        <v>482.93</v>
      </c>
      <c r="G174" s="60">
        <f>1000*usd</f>
        <v>482.93</v>
      </c>
      <c r="H174" s="60">
        <f>1000*usd</f>
        <v>482.93</v>
      </c>
      <c r="I174" s="70"/>
    </row>
    <row r="175" spans="1:9" x14ac:dyDescent="0.25">
      <c r="A175" s="58"/>
      <c r="B175" s="58"/>
      <c r="C175" s="58"/>
      <c r="D175" s="60"/>
      <c r="E175" s="60"/>
      <c r="F175" s="60"/>
      <c r="G175" s="60"/>
      <c r="H175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175"/>
  <sheetViews>
    <sheetView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17.25" x14ac:dyDescent="0.3">
      <c r="A1" s="227">
        <v>47</v>
      </c>
      <c r="B1" s="228" t="s">
        <v>355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265.125</v>
      </c>
      <c r="E5" s="52">
        <f>E63</f>
        <v>265.125</v>
      </c>
      <c r="F5" s="52">
        <f t="shared" ref="F5:H5" si="1">F63</f>
        <v>0</v>
      </c>
      <c r="G5" s="52">
        <f t="shared" si="1"/>
        <v>0</v>
      </c>
      <c r="H5" s="52">
        <f t="shared" si="1"/>
        <v>0</v>
      </c>
      <c r="I5" s="70"/>
    </row>
    <row r="6" spans="1:12" x14ac:dyDescent="0.25">
      <c r="B6" s="17" t="s">
        <v>191</v>
      </c>
      <c r="D6" s="52">
        <f t="shared" si="0"/>
        <v>0</v>
      </c>
      <c r="E6" s="52">
        <f>E67</f>
        <v>0</v>
      </c>
      <c r="F6" s="52">
        <f t="shared" ref="F6:H6" si="2">F67</f>
        <v>0</v>
      </c>
      <c r="G6" s="52">
        <f t="shared" si="2"/>
        <v>0</v>
      </c>
      <c r="H6" s="52">
        <f t="shared" si="2"/>
        <v>0</v>
      </c>
      <c r="I6" s="70"/>
    </row>
    <row r="7" spans="1:12" ht="14.25" thickBot="1" x14ac:dyDescent="0.3">
      <c r="A7" s="13"/>
      <c r="B7" s="13" t="s">
        <v>5</v>
      </c>
      <c r="C7" s="13"/>
      <c r="D7" s="55">
        <f>SUBTOTAL(9,D5:D6)</f>
        <v>265.125</v>
      </c>
      <c r="E7" s="55">
        <f>SUBTOTAL(9,E5:E6)</f>
        <v>265.125</v>
      </c>
      <c r="F7" s="55">
        <f>SUBTOTAL(9,F5:F6)</f>
        <v>0</v>
      </c>
      <c r="G7" s="55">
        <f>SUBTOTAL(9,G5:G6)</f>
        <v>0</v>
      </c>
      <c r="H7" s="55">
        <f>SUBTOTAL(9,H5:H6)</f>
        <v>0</v>
      </c>
      <c r="I7" s="70"/>
    </row>
    <row r="8" spans="1:12" ht="6.75" customHeight="1" x14ac:dyDescent="0.25">
      <c r="I8" s="70"/>
    </row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5.25" customHeight="1" x14ac:dyDescent="0.25">
      <c r="I13" s="70"/>
    </row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0</v>
      </c>
      <c r="E15" s="52">
        <f>E95</f>
        <v>0</v>
      </c>
      <c r="F15" s="52">
        <f t="shared" ref="F15:H15" si="7">F95</f>
        <v>0</v>
      </c>
      <c r="G15" s="52">
        <f t="shared" si="7"/>
        <v>0</v>
      </c>
      <c r="H15" s="52">
        <f t="shared" si="7"/>
        <v>0</v>
      </c>
      <c r="I15" s="70"/>
    </row>
    <row r="16" spans="1:12" x14ac:dyDescent="0.25">
      <c r="B16" s="17" t="s">
        <v>73</v>
      </c>
      <c r="I16" s="70"/>
    </row>
    <row r="17" spans="1:12" ht="14.25" thickBot="1" x14ac:dyDescent="0.3">
      <c r="A17" s="13"/>
      <c r="B17" s="13" t="s">
        <v>76</v>
      </c>
      <c r="C17" s="13"/>
      <c r="D17" s="55">
        <f>SUBTOTAL(9,D15:D16)</f>
        <v>0</v>
      </c>
      <c r="E17" s="55">
        <f t="shared" ref="E17:H17" si="8">SUBTOTAL(9,E15:E16)</f>
        <v>0</v>
      </c>
      <c r="F17" s="55">
        <f t="shared" si="8"/>
        <v>0</v>
      </c>
      <c r="G17" s="55">
        <f t="shared" si="8"/>
        <v>0</v>
      </c>
      <c r="H17" s="55">
        <f t="shared" si="8"/>
        <v>0</v>
      </c>
      <c r="I17" s="70"/>
    </row>
    <row r="18" spans="1:12" ht="6" customHeight="1" x14ac:dyDescent="0.25">
      <c r="I18" s="70"/>
    </row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0</v>
      </c>
      <c r="E25" s="52">
        <f>E107</f>
        <v>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  <c r="E26" s="52">
        <f>E132</f>
        <v>0</v>
      </c>
      <c r="F26" s="52">
        <f>F132</f>
        <v>0</v>
      </c>
      <c r="G26" s="52">
        <f>G132</f>
        <v>0</v>
      </c>
      <c r="H26" s="52">
        <f>H132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0</v>
      </c>
      <c r="E28" s="55">
        <f t="shared" ref="E28:H28" si="15">SUBTOTAL(9,E25:E27)</f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</row>
    <row r="29" spans="1:12" ht="6.7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5950</v>
      </c>
      <c r="E32" s="52">
        <f>E117</f>
        <v>5950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5950</v>
      </c>
      <c r="E35" s="55">
        <f t="shared" ref="E35:H35" si="17">SUBTOTAL(9,E31:E34)</f>
        <v>5950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1931.72</v>
      </c>
      <c r="E40" s="52">
        <f>E174</f>
        <v>482.93</v>
      </c>
      <c r="F40" s="52">
        <f t="shared" ref="F40:H40" si="19">F174</f>
        <v>482.93</v>
      </c>
      <c r="G40" s="52">
        <f t="shared" si="19"/>
        <v>482.93</v>
      </c>
      <c r="H40" s="52">
        <f t="shared" si="19"/>
        <v>482.93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1931.72</v>
      </c>
      <c r="E43" s="55">
        <f t="shared" ref="E43:H43" si="20">SUBTOTAL(9,E38:E42)</f>
        <v>482.93</v>
      </c>
      <c r="F43" s="55">
        <f t="shared" si="20"/>
        <v>482.93</v>
      </c>
      <c r="G43" s="55">
        <f t="shared" si="20"/>
        <v>482.93</v>
      </c>
      <c r="H43" s="55">
        <f t="shared" si="20"/>
        <v>482.93</v>
      </c>
    </row>
    <row r="44" spans="1:12" ht="6.7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1">SUM(E46:H46)</f>
        <v>0</v>
      </c>
      <c r="E46" s="52">
        <f>E147</f>
        <v>0</v>
      </c>
      <c r="F46" s="52">
        <f t="shared" ref="F46:H46" si="22">F147</f>
        <v>0</v>
      </c>
      <c r="G46" s="52">
        <f t="shared" si="22"/>
        <v>0</v>
      </c>
      <c r="H46" s="52">
        <f t="shared" si="22"/>
        <v>0</v>
      </c>
    </row>
    <row r="47" spans="1:12" x14ac:dyDescent="0.25">
      <c r="A47" s="3"/>
      <c r="B47" s="3" t="s">
        <v>21</v>
      </c>
      <c r="C47" s="3"/>
      <c r="D47" s="52">
        <f t="shared" si="21"/>
        <v>50</v>
      </c>
      <c r="E47" s="52">
        <f>E137</f>
        <v>0</v>
      </c>
      <c r="F47" s="52">
        <f t="shared" ref="F47:H47" si="23">F137</f>
        <v>50</v>
      </c>
      <c r="G47" s="52">
        <f t="shared" si="23"/>
        <v>0</v>
      </c>
      <c r="H47" s="52">
        <f t="shared" si="23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50</v>
      </c>
      <c r="E48" s="55">
        <f>SUBTOTAL(9,E46:E47)</f>
        <v>0</v>
      </c>
      <c r="F48" s="55">
        <f>SUBTOTAL(9,F46:F47)</f>
        <v>50</v>
      </c>
      <c r="G48" s="55">
        <f>SUBTOTAL(9,G46:G47)</f>
        <v>0</v>
      </c>
      <c r="H48" s="55">
        <f>SUBTOTAL(9,H46:H47)</f>
        <v>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8196.8450000000012</v>
      </c>
      <c r="E50" s="57">
        <f>SUBTOTAL(9,E5:E48)</f>
        <v>6698.0550000000003</v>
      </c>
      <c r="F50" s="57">
        <f>SUBTOTAL(9,F5:F48)</f>
        <v>532.93000000000006</v>
      </c>
      <c r="G50" s="57">
        <f>SUBTOTAL(9,G5:G48)</f>
        <v>482.93</v>
      </c>
      <c r="H50" s="57">
        <f>SUBTOTAL(9,H5:H48)</f>
        <v>482.93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265.125</v>
      </c>
      <c r="F63" s="52">
        <f t="shared" ref="F63:H63" si="24">F64*F65</f>
        <v>0</v>
      </c>
      <c r="G63" s="52">
        <f t="shared" si="24"/>
        <v>0</v>
      </c>
      <c r="H63" s="52">
        <f t="shared" si="24"/>
        <v>0</v>
      </c>
    </row>
    <row r="64" spans="1:8" x14ac:dyDescent="0.25">
      <c r="A64" s="9"/>
      <c r="B64" s="9" t="s">
        <v>129</v>
      </c>
      <c r="C64" s="9" t="s">
        <v>128</v>
      </c>
      <c r="E64" s="52">
        <v>15</v>
      </c>
      <c r="F64" s="52">
        <v>0</v>
      </c>
      <c r="G64" s="52">
        <v>0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hidden="1" x14ac:dyDescent="0.25"/>
    <row r="67" spans="1:12" s="7" customFormat="1" hidden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5">F68*F69</f>
        <v>0</v>
      </c>
      <c r="G67" s="52">
        <f t="shared" si="25"/>
        <v>0</v>
      </c>
      <c r="H67" s="52">
        <f t="shared" si="25"/>
        <v>0</v>
      </c>
      <c r="I67" s="70"/>
      <c r="J67" s="6"/>
      <c r="K67" s="6"/>
      <c r="L67" s="6"/>
    </row>
    <row r="68" spans="1:12" s="7" customFormat="1" hidden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0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hidden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6">F88*F89+F91*F92</f>
        <v>0</v>
      </c>
      <c r="G87" s="60">
        <f t="shared" si="26"/>
        <v>0</v>
      </c>
      <c r="H87" s="60">
        <f t="shared" si="26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hidden="1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7">F96*F97</f>
        <v>0</v>
      </c>
      <c r="G95" s="60">
        <f t="shared" si="27"/>
        <v>0</v>
      </c>
      <c r="H95" s="60">
        <f t="shared" si="27"/>
        <v>0</v>
      </c>
    </row>
    <row r="96" spans="1:12" s="7" customFormat="1" hidden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0</v>
      </c>
      <c r="G96" s="52">
        <v>0</v>
      </c>
      <c r="H96" s="52">
        <v>0</v>
      </c>
      <c r="I96" s="6"/>
      <c r="J96" s="6"/>
      <c r="K96" s="6"/>
      <c r="L96" s="6"/>
    </row>
    <row r="97" spans="1:12" s="7" customFormat="1" hidden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hidden="1" x14ac:dyDescent="0.25"/>
    <row r="99" spans="1:12" hidden="1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28">F100*F101+F102*F103+F104*F105</f>
        <v>0</v>
      </c>
      <c r="G99" s="60">
        <f t="shared" si="28"/>
        <v>0</v>
      </c>
      <c r="H99" s="60">
        <f t="shared" si="28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9">G88</f>
        <v>0</v>
      </c>
      <c r="H101" s="52">
        <f t="shared" si="29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E103" s="52">
        <f>E104*E105</f>
        <v>0</v>
      </c>
      <c r="F103" s="52">
        <v>0</v>
      </c>
      <c r="G103" s="52">
        <v>0</v>
      </c>
      <c r="H103" s="52">
        <v>0</v>
      </c>
    </row>
    <row r="104" spans="1:12" hidden="1" x14ac:dyDescent="0.25">
      <c r="B104" s="45" t="s">
        <v>272</v>
      </c>
      <c r="C104" s="5" t="s">
        <v>155</v>
      </c>
      <c r="E104" s="52">
        <f>Training!$C$34*(100%-Training!$C$38)</f>
        <v>50</v>
      </c>
      <c r="F104" s="52">
        <f>Training!$C$34*(100%-Training!$C$38)</f>
        <v>50</v>
      </c>
      <c r="G104" s="52">
        <f>Training!$C$34*(100%-Training!$C$38)</f>
        <v>50</v>
      </c>
      <c r="H104" s="52">
        <f>Training!$C$34*(100%-Training!$C$38)</f>
        <v>50</v>
      </c>
    </row>
    <row r="105" spans="1:12" hidden="1" x14ac:dyDescent="0.25">
      <c r="B105" s="45" t="s">
        <v>151</v>
      </c>
      <c r="E105" s="52">
        <v>0</v>
      </c>
      <c r="F105" s="52">
        <v>0</v>
      </c>
      <c r="G105" s="52">
        <v>0</v>
      </c>
      <c r="H105" s="52">
        <v>0</v>
      </c>
    </row>
    <row r="106" spans="1:12" hidden="1" x14ac:dyDescent="0.25">
      <c r="B106" s="45"/>
    </row>
    <row r="107" spans="1:12" hidden="1" x14ac:dyDescent="0.25">
      <c r="A107" s="58"/>
      <c r="B107" s="58" t="s">
        <v>24</v>
      </c>
      <c r="C107" s="58"/>
      <c r="D107" s="60"/>
      <c r="E107" s="60">
        <f>E108*E109</f>
        <v>0</v>
      </c>
      <c r="F107" s="60">
        <f t="shared" ref="F107:H107" si="30">F108*F109</f>
        <v>0</v>
      </c>
      <c r="G107" s="60">
        <f t="shared" si="30"/>
        <v>0</v>
      </c>
      <c r="H107" s="60">
        <f t="shared" si="30"/>
        <v>0</v>
      </c>
      <c r="I107" s="70"/>
    </row>
    <row r="108" spans="1:12" s="7" customFormat="1" hidden="1" x14ac:dyDescent="0.25">
      <c r="A108" s="5"/>
      <c r="B108" s="45" t="s">
        <v>54</v>
      </c>
      <c r="C108" s="5"/>
      <c r="D108" s="52"/>
      <c r="E108" s="52">
        <v>0</v>
      </c>
      <c r="F108" s="52">
        <v>0</v>
      </c>
      <c r="G108" s="52"/>
      <c r="H108" s="52"/>
      <c r="I108" s="70"/>
      <c r="J108" s="6"/>
      <c r="K108" s="6"/>
      <c r="L108" s="6"/>
    </row>
    <row r="109" spans="1:12" s="7" customFormat="1" hidden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70"/>
      <c r="J109" s="6"/>
      <c r="K109" s="6"/>
      <c r="L109" s="6"/>
    </row>
    <row r="110" spans="1:12" hidden="1" x14ac:dyDescent="0.25">
      <c r="I110" s="70"/>
    </row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6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50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50"/>
      <c r="J115" s="50"/>
      <c r="K115" s="50"/>
      <c r="L115" s="50"/>
    </row>
    <row r="116" spans="1:12" hidden="1" x14ac:dyDescent="0.25"/>
    <row r="117" spans="1:12" x14ac:dyDescent="0.25">
      <c r="A117" s="58"/>
      <c r="B117" s="58" t="s">
        <v>26</v>
      </c>
      <c r="C117" s="58"/>
      <c r="D117" s="60"/>
      <c r="E117" s="60">
        <f>E122*E123</f>
        <v>5950</v>
      </c>
      <c r="F117" s="60"/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x14ac:dyDescent="0.25">
      <c r="B121" s="63" t="s">
        <v>140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x14ac:dyDescent="0.25">
      <c r="B122" s="47" t="s">
        <v>166</v>
      </c>
      <c r="D122" s="52"/>
      <c r="E122" s="52">
        <f>'Rates and GI'!D39</f>
        <v>350</v>
      </c>
      <c r="F122" s="52"/>
      <c r="G122" s="44"/>
      <c r="H122" s="44"/>
      <c r="I122" s="6"/>
      <c r="J122" s="6"/>
      <c r="K122" s="6"/>
      <c r="L122" s="6"/>
    </row>
    <row r="123" spans="1:12" s="5" customFormat="1" x14ac:dyDescent="0.25">
      <c r="B123" s="47" t="s">
        <v>165</v>
      </c>
      <c r="D123" s="52"/>
      <c r="E123" s="52">
        <v>17</v>
      </c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6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6"/>
      <c r="J126" s="6"/>
      <c r="K126" s="6"/>
      <c r="L126" s="6"/>
    </row>
    <row r="127" spans="1:12" hidden="1" x14ac:dyDescent="0.25"/>
    <row r="128" spans="1:12" hidden="1" x14ac:dyDescent="0.25">
      <c r="A128" s="58"/>
      <c r="B128" s="58" t="s">
        <v>25</v>
      </c>
      <c r="C128" s="58"/>
      <c r="D128" s="60"/>
      <c r="E128" s="60"/>
      <c r="F128" s="60"/>
      <c r="G128" s="60"/>
      <c r="H128" s="60"/>
    </row>
    <row r="129" spans="1:12" s="5" customFormat="1" hidden="1" x14ac:dyDescent="0.25">
      <c r="B129" s="47" t="s">
        <v>64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s="5" customFormat="1" hidden="1" x14ac:dyDescent="0.25">
      <c r="B130" s="47" t="s">
        <v>63</v>
      </c>
      <c r="D130" s="52"/>
      <c r="E130" s="52"/>
      <c r="F130" s="52"/>
      <c r="G130" s="44"/>
      <c r="H130" s="44"/>
      <c r="I130" s="6"/>
      <c r="J130" s="6"/>
      <c r="K130" s="6"/>
      <c r="L130" s="6"/>
    </row>
    <row r="131" spans="1:12" s="5" customFormat="1" hidden="1" x14ac:dyDescent="0.25">
      <c r="B131" s="47" t="s">
        <v>65</v>
      </c>
      <c r="D131" s="52"/>
      <c r="E131" s="52"/>
      <c r="F131" s="52"/>
      <c r="G131" s="44"/>
      <c r="H131" s="44"/>
      <c r="I131" s="6"/>
      <c r="J131" s="6"/>
      <c r="K131" s="6"/>
      <c r="L131" s="6"/>
    </row>
    <row r="132" spans="1:12" s="5" customFormat="1" hidden="1" x14ac:dyDescent="0.25">
      <c r="B132" s="5" t="s">
        <v>173</v>
      </c>
      <c r="D132" s="52"/>
      <c r="E132" s="52">
        <f>E133+E134*E135</f>
        <v>0</v>
      </c>
      <c r="F132" s="52">
        <f>F133+F134*F135</f>
        <v>0</v>
      </c>
      <c r="G132" s="52">
        <f t="shared" ref="G132:H132" si="31">G133+G134*G135</f>
        <v>0</v>
      </c>
      <c r="H132" s="52">
        <f t="shared" si="31"/>
        <v>0</v>
      </c>
    </row>
    <row r="133" spans="1:12" hidden="1" x14ac:dyDescent="0.25">
      <c r="B133" s="47" t="s">
        <v>172</v>
      </c>
      <c r="F133" s="52">
        <f>'Rates and GI'!D57*0</f>
        <v>0</v>
      </c>
    </row>
    <row r="134" spans="1:12" hidden="1" x14ac:dyDescent="0.25">
      <c r="B134" s="47" t="s">
        <v>178</v>
      </c>
      <c r="E134" s="68">
        <f>'Rates and GI'!$D$58</f>
        <v>0.05</v>
      </c>
      <c r="F134" s="68">
        <f>'Rates and GI'!$D$58</f>
        <v>0.05</v>
      </c>
      <c r="G134" s="68">
        <f>'Rates and GI'!$D$58</f>
        <v>0.05</v>
      </c>
      <c r="H134" s="68">
        <f>'Rates and GI'!$D$58</f>
        <v>0.05</v>
      </c>
    </row>
    <row r="135" spans="1:12" hidden="1" x14ac:dyDescent="0.25">
      <c r="B135" s="47" t="s">
        <v>179</v>
      </c>
      <c r="E135" s="52">
        <v>0</v>
      </c>
      <c r="F135" s="52">
        <v>0</v>
      </c>
      <c r="G135" s="52"/>
      <c r="H135" s="52"/>
    </row>
    <row r="136" spans="1:12" s="5" customFormat="1" hidden="1" x14ac:dyDescent="0.25">
      <c r="B136" s="47"/>
      <c r="D136" s="52"/>
      <c r="E136" s="52"/>
      <c r="F136" s="52"/>
      <c r="G136" s="44"/>
      <c r="H136" s="44"/>
      <c r="I136" s="6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2">F138*F139+F140*F141++F142*F143+F144*F145</f>
        <v>50</v>
      </c>
      <c r="G137" s="60">
        <f t="shared" si="32"/>
        <v>0</v>
      </c>
      <c r="H137" s="60">
        <f t="shared" si="32"/>
        <v>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x14ac:dyDescent="0.25">
      <c r="B144" s="47" t="s">
        <v>354</v>
      </c>
      <c r="D144" s="52"/>
      <c r="E144" s="52">
        <v>0</v>
      </c>
      <c r="F144" s="52">
        <v>1</v>
      </c>
      <c r="G144" s="52">
        <v>0</v>
      </c>
      <c r="H144" s="52">
        <v>0</v>
      </c>
      <c r="I144" s="6"/>
      <c r="J144" s="6"/>
      <c r="K144" s="6"/>
      <c r="L144" s="6"/>
    </row>
    <row r="145" spans="1:12" s="5" customFormat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52">
        <f>'Rates and GI'!$D$72</f>
        <v>50</v>
      </c>
      <c r="H145" s="52">
        <f>'Rates and GI'!$D$72</f>
        <v>50</v>
      </c>
      <c r="I145" s="6"/>
      <c r="J145" s="6"/>
      <c r="K145" s="6"/>
      <c r="L145" s="6"/>
    </row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3">F148+F151+F154+F163+F168</f>
        <v>0</v>
      </c>
      <c r="G147" s="60">
        <f t="shared" si="33"/>
        <v>0</v>
      </c>
      <c r="H147" s="60">
        <f t="shared" si="33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4">H149+H152*H153</f>
        <v>0</v>
      </c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35">F152*F153</f>
        <v>0</v>
      </c>
      <c r="G151" s="52">
        <f t="shared" si="35"/>
        <v>0</v>
      </c>
      <c r="H151" s="52">
        <f t="shared" si="35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36">F155+F159</f>
        <v>0</v>
      </c>
      <c r="G154" s="52">
        <f t="shared" si="36"/>
        <v>0</v>
      </c>
      <c r="H154" s="52">
        <f t="shared" si="36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37">F156*F157</f>
        <v>0</v>
      </c>
      <c r="G155" s="52">
        <f t="shared" si="37"/>
        <v>0</v>
      </c>
      <c r="H155" s="52">
        <f t="shared" si="37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38">F160*F161</f>
        <v>0</v>
      </c>
      <c r="G159" s="52">
        <f t="shared" si="38"/>
        <v>0</v>
      </c>
      <c r="H159" s="52">
        <f t="shared" si="38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1:9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1:9" hidden="1" x14ac:dyDescent="0.25">
      <c r="B162" s="6"/>
    </row>
    <row r="163" spans="1:9" hidden="1" x14ac:dyDescent="0.25">
      <c r="B163" s="5" t="s">
        <v>203</v>
      </c>
      <c r="E163" s="52">
        <f>E164*E165*E166</f>
        <v>0</v>
      </c>
      <c r="F163" s="52">
        <f t="shared" ref="F163:H163" si="39">F164*F165*F166</f>
        <v>0</v>
      </c>
      <c r="G163" s="52">
        <f t="shared" si="39"/>
        <v>0</v>
      </c>
      <c r="H163" s="52">
        <f t="shared" si="39"/>
        <v>0</v>
      </c>
    </row>
    <row r="164" spans="1:9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1:9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1:9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1:9" hidden="1" x14ac:dyDescent="0.25"/>
    <row r="168" spans="1:9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1:9" hidden="1" x14ac:dyDescent="0.25">
      <c r="B169" s="47" t="s">
        <v>172</v>
      </c>
      <c r="F169" s="52">
        <f>'Rates and GI'!D57*0</f>
        <v>0</v>
      </c>
    </row>
    <row r="170" spans="1:9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1:9" hidden="1" x14ac:dyDescent="0.25">
      <c r="B171" s="47" t="s">
        <v>179</v>
      </c>
      <c r="F171" s="52">
        <v>0</v>
      </c>
      <c r="G171" s="44">
        <v>0</v>
      </c>
    </row>
    <row r="172" spans="1:9" hidden="1" x14ac:dyDescent="0.25"/>
    <row r="173" spans="1:9" hidden="1" x14ac:dyDescent="0.25"/>
    <row r="174" spans="1:9" x14ac:dyDescent="0.25">
      <c r="A174" s="58"/>
      <c r="B174" s="58" t="s">
        <v>19</v>
      </c>
      <c r="C174" s="58"/>
      <c r="D174" s="60"/>
      <c r="E174" s="60">
        <f>1000*usd</f>
        <v>482.93</v>
      </c>
      <c r="F174" s="60">
        <f>1000*usd</f>
        <v>482.93</v>
      </c>
      <c r="G174" s="60">
        <f>1000*usd</f>
        <v>482.93</v>
      </c>
      <c r="H174" s="60">
        <f>1000*usd</f>
        <v>482.93</v>
      </c>
      <c r="I174" s="70"/>
    </row>
    <row r="175" spans="1:9" x14ac:dyDescent="0.25">
      <c r="A175" s="58"/>
      <c r="B175" s="58"/>
      <c r="C175" s="58"/>
      <c r="D175" s="60"/>
      <c r="E175" s="60"/>
      <c r="F175" s="60"/>
      <c r="G175" s="60"/>
      <c r="H175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174"/>
  <sheetViews>
    <sheetView topLeftCell="A19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9" width="9.140625" style="70"/>
    <col min="10" max="16384" width="9.140625" style="6"/>
  </cols>
  <sheetData>
    <row r="1" spans="1:12" s="140" customFormat="1" ht="34.5" x14ac:dyDescent="0.3">
      <c r="A1" s="227">
        <v>48</v>
      </c>
      <c r="B1" s="228" t="s">
        <v>280</v>
      </c>
      <c r="C1" s="227"/>
      <c r="D1" s="229"/>
      <c r="E1" s="229"/>
      <c r="F1" s="229"/>
      <c r="G1" s="230"/>
      <c r="H1" s="230"/>
    </row>
    <row r="3" spans="1:12" s="15" customFormat="1" x14ac:dyDescent="0.25">
      <c r="A3" s="119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  <c r="I3" s="103"/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69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18923.293069660875</v>
      </c>
      <c r="E5" s="52">
        <f>E63</f>
        <v>742.35</v>
      </c>
      <c r="F5" s="52">
        <f t="shared" ref="F5:H5" si="1">F63</f>
        <v>5807.0328749999999</v>
      </c>
      <c r="G5" s="52">
        <f t="shared" si="1"/>
        <v>6056.7352886249992</v>
      </c>
      <c r="H5" s="52">
        <f t="shared" si="1"/>
        <v>6317.1749060358734</v>
      </c>
    </row>
    <row r="6" spans="1:12" x14ac:dyDescent="0.25">
      <c r="B6" s="17" t="s">
        <v>191</v>
      </c>
      <c r="D6" s="52">
        <f t="shared" si="0"/>
        <v>5009.90589</v>
      </c>
      <c r="E6" s="52">
        <f>E67</f>
        <v>2452.2300000000005</v>
      </c>
      <c r="F6" s="52">
        <f t="shared" ref="F6:H6" si="2">F67</f>
        <v>2557.67589</v>
      </c>
      <c r="G6" s="52">
        <f t="shared" si="2"/>
        <v>0</v>
      </c>
      <c r="H6" s="52">
        <f t="shared" si="2"/>
        <v>0</v>
      </c>
    </row>
    <row r="7" spans="1:12" ht="14.25" thickBot="1" x14ac:dyDescent="0.3">
      <c r="A7" s="13"/>
      <c r="B7" s="13" t="s">
        <v>5</v>
      </c>
      <c r="C7" s="13"/>
      <c r="D7" s="55">
        <f>SUBTOTAL(9,D5:D6)</f>
        <v>23933.198959660876</v>
      </c>
      <c r="E7" s="55">
        <f>SUBTOTAL(9,E5:E6)</f>
        <v>3194.5800000000004</v>
      </c>
      <c r="F7" s="55">
        <f>SUBTOTAL(9,F5:F6)</f>
        <v>8364.7087649999994</v>
      </c>
      <c r="G7" s="55">
        <f>SUBTOTAL(9,G5:G6)</f>
        <v>6056.7352886249992</v>
      </c>
      <c r="H7" s="55">
        <f>SUBTOTAL(9,H5:H6)</f>
        <v>6317.1749060358734</v>
      </c>
    </row>
    <row r="8" spans="1:12" ht="5.2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1560</v>
      </c>
      <c r="E10" s="52">
        <f>E87</f>
        <v>0</v>
      </c>
      <c r="F10" s="52">
        <f t="shared" ref="F10:H10" si="4">F87</f>
        <v>520</v>
      </c>
      <c r="G10" s="52">
        <f t="shared" si="4"/>
        <v>520</v>
      </c>
      <c r="H10" s="52">
        <f t="shared" si="4"/>
        <v>520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1560</v>
      </c>
      <c r="E12" s="55">
        <f t="shared" ref="E12:H12" si="5">SUBTOTAL(9,E10:E11)</f>
        <v>0</v>
      </c>
      <c r="F12" s="55">
        <f t="shared" si="5"/>
        <v>520</v>
      </c>
      <c r="G12" s="55">
        <f t="shared" si="5"/>
        <v>520</v>
      </c>
      <c r="H12" s="55">
        <f t="shared" si="5"/>
        <v>520</v>
      </c>
    </row>
    <row r="13" spans="1:12" ht="5.25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743.12691355000004</v>
      </c>
      <c r="E15" s="52">
        <f>E95</f>
        <v>0</v>
      </c>
      <c r="F15" s="52">
        <f t="shared" ref="F15:H15" si="7">F95</f>
        <v>743.12691355000004</v>
      </c>
      <c r="G15" s="52">
        <f t="shared" si="7"/>
        <v>0</v>
      </c>
      <c r="H15" s="52">
        <f t="shared" si="7"/>
        <v>0</v>
      </c>
    </row>
    <row r="16" spans="1:12" x14ac:dyDescent="0.25">
      <c r="B16" s="17" t="s">
        <v>73</v>
      </c>
    </row>
    <row r="17" spans="1:12" ht="14.25" thickBot="1" x14ac:dyDescent="0.3">
      <c r="A17" s="13"/>
      <c r="B17" s="13" t="s">
        <v>76</v>
      </c>
      <c r="C17" s="13"/>
      <c r="D17" s="55">
        <f>SUBTOTAL(9,D15:D16)</f>
        <v>743.12691355000004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0</v>
      </c>
      <c r="H17" s="55">
        <f t="shared" si="8"/>
        <v>0</v>
      </c>
    </row>
    <row r="18" spans="1:12" ht="6" customHeight="1" x14ac:dyDescent="0.25"/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2220.9460093749999</v>
      </c>
      <c r="E20" s="52">
        <f>E99</f>
        <v>0</v>
      </c>
      <c r="F20" s="52">
        <f t="shared" ref="F20:H20" si="10">F99</f>
        <v>709.375</v>
      </c>
      <c r="G20" s="52">
        <f t="shared" si="10"/>
        <v>739.87812499999995</v>
      </c>
      <c r="H20" s="52">
        <f t="shared" si="10"/>
        <v>771.69288437499995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2220.9460093749999</v>
      </c>
      <c r="E22" s="55">
        <f t="shared" ref="E22:H22" si="12">SUBTOTAL(9,E20:E21)</f>
        <v>0</v>
      </c>
      <c r="F22" s="55">
        <f t="shared" si="12"/>
        <v>709.375</v>
      </c>
      <c r="G22" s="55">
        <f t="shared" si="12"/>
        <v>739.87812499999995</v>
      </c>
      <c r="H22" s="55">
        <f t="shared" si="12"/>
        <v>771.69288437499995</v>
      </c>
    </row>
    <row r="23" spans="1:12" ht="5.2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150</v>
      </c>
      <c r="E25" s="52">
        <f>E107</f>
        <v>150</v>
      </c>
      <c r="F25" s="52">
        <f t="shared" ref="F25:H25" si="13">F107</f>
        <v>0</v>
      </c>
      <c r="G25" s="52">
        <f t="shared" si="13"/>
        <v>0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6090</v>
      </c>
      <c r="E26" s="52">
        <f>E128</f>
        <v>0</v>
      </c>
      <c r="F26" s="52">
        <f t="shared" ref="F26:H26" si="15">F128</f>
        <v>6030</v>
      </c>
      <c r="G26" s="52">
        <f t="shared" si="15"/>
        <v>30</v>
      </c>
      <c r="H26" s="52">
        <f t="shared" si="15"/>
        <v>30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6240</v>
      </c>
      <c r="E28" s="55">
        <f t="shared" ref="E28:H28" si="16">SUBTOTAL(9,E25:E27)</f>
        <v>150</v>
      </c>
      <c r="F28" s="55">
        <f t="shared" si="16"/>
        <v>6030</v>
      </c>
      <c r="G28" s="55">
        <f t="shared" si="16"/>
        <v>30</v>
      </c>
      <c r="H28" s="55">
        <f t="shared" si="16"/>
        <v>30</v>
      </c>
    </row>
    <row r="29" spans="1:12" ht="6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7">SUM(E31:H31)</f>
        <v>0</v>
      </c>
    </row>
    <row r="32" spans="1:12" x14ac:dyDescent="0.25">
      <c r="B32" s="17" t="s">
        <v>26</v>
      </c>
      <c r="D32" s="52">
        <f t="shared" si="17"/>
        <v>0</v>
      </c>
      <c r="E32" s="52">
        <f>E117</f>
        <v>0</v>
      </c>
    </row>
    <row r="33" spans="1:12" x14ac:dyDescent="0.25">
      <c r="B33" s="17" t="s">
        <v>8</v>
      </c>
      <c r="D33" s="52">
        <f t="shared" si="17"/>
        <v>0</v>
      </c>
    </row>
    <row r="34" spans="1:12" x14ac:dyDescent="0.25">
      <c r="B34" s="17" t="s">
        <v>9</v>
      </c>
      <c r="D34" s="52">
        <f t="shared" si="17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8">SUBTOTAL(9,E31:E34)</f>
        <v>0</v>
      </c>
      <c r="F35" s="55">
        <f t="shared" si="18"/>
        <v>0</v>
      </c>
      <c r="G35" s="55">
        <f t="shared" si="18"/>
        <v>0</v>
      </c>
      <c r="H35" s="55">
        <f t="shared" si="18"/>
        <v>0</v>
      </c>
    </row>
    <row r="36" spans="1:12" ht="5.2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69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9">SUM(E38:H38)</f>
        <v>0</v>
      </c>
    </row>
    <row r="39" spans="1:12" x14ac:dyDescent="0.25">
      <c r="A39" s="2"/>
      <c r="B39" s="2" t="s">
        <v>18</v>
      </c>
      <c r="C39" s="2"/>
      <c r="D39" s="52">
        <f t="shared" si="19"/>
        <v>0</v>
      </c>
    </row>
    <row r="40" spans="1:12" x14ac:dyDescent="0.25">
      <c r="A40" s="2"/>
      <c r="B40" s="2" t="s">
        <v>19</v>
      </c>
      <c r="C40" s="2"/>
      <c r="D40" s="52">
        <f t="shared" si="19"/>
        <v>0</v>
      </c>
      <c r="E40" s="52">
        <f>E174</f>
        <v>0</v>
      </c>
      <c r="F40" s="52">
        <f t="shared" ref="F40:H40" si="20">F174</f>
        <v>0</v>
      </c>
      <c r="G40" s="52">
        <f t="shared" si="20"/>
        <v>0</v>
      </c>
      <c r="H40" s="52">
        <f t="shared" si="20"/>
        <v>0</v>
      </c>
    </row>
    <row r="41" spans="1:12" x14ac:dyDescent="0.25">
      <c r="A41" s="3"/>
      <c r="B41" s="3" t="s">
        <v>13</v>
      </c>
      <c r="C41" s="3"/>
      <c r="D41" s="52">
        <f t="shared" si="19"/>
        <v>0</v>
      </c>
    </row>
    <row r="42" spans="1:12" x14ac:dyDescent="0.25">
      <c r="A42" s="3"/>
      <c r="B42" s="3" t="s">
        <v>22</v>
      </c>
      <c r="C42" s="3"/>
      <c r="D42" s="52">
        <f t="shared" si="19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21">SUBTOTAL(9,E38:E42)</f>
        <v>0</v>
      </c>
      <c r="F43" s="55">
        <f t="shared" si="21"/>
        <v>0</v>
      </c>
      <c r="G43" s="55">
        <f t="shared" si="21"/>
        <v>0</v>
      </c>
      <c r="H43" s="55">
        <f t="shared" si="21"/>
        <v>0</v>
      </c>
    </row>
    <row r="44" spans="1:12" ht="5.2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69"/>
      <c r="J45" s="12"/>
      <c r="K45" s="12"/>
      <c r="L45" s="12"/>
    </row>
    <row r="46" spans="1:12" x14ac:dyDescent="0.25">
      <c r="A46" s="3"/>
      <c r="B46" s="3" t="s">
        <v>218</v>
      </c>
      <c r="C46" s="3"/>
      <c r="D46" s="52">
        <f t="shared" ref="D46:D47" si="22">SUM(E46:H46)</f>
        <v>0</v>
      </c>
      <c r="E46" s="52">
        <f>E147</f>
        <v>0</v>
      </c>
      <c r="F46" s="52">
        <f t="shared" ref="F46:H46" si="23">F147</f>
        <v>0</v>
      </c>
      <c r="G46" s="52">
        <f t="shared" si="23"/>
        <v>0</v>
      </c>
      <c r="H46" s="52">
        <f t="shared" si="23"/>
        <v>0</v>
      </c>
    </row>
    <row r="47" spans="1:12" x14ac:dyDescent="0.25">
      <c r="A47" s="3"/>
      <c r="B47" s="3" t="s">
        <v>21</v>
      </c>
      <c r="C47" s="3"/>
      <c r="D47" s="52">
        <f t="shared" si="22"/>
        <v>300</v>
      </c>
      <c r="E47" s="52">
        <f>E137</f>
        <v>0</v>
      </c>
      <c r="F47" s="52">
        <f t="shared" ref="F47:H47" si="24">F137</f>
        <v>100</v>
      </c>
      <c r="G47" s="52">
        <f t="shared" si="24"/>
        <v>100</v>
      </c>
      <c r="H47" s="52">
        <f t="shared" si="24"/>
        <v>100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300</v>
      </c>
      <c r="E48" s="55">
        <f>SUBTOTAL(9,E46:E47)</f>
        <v>0</v>
      </c>
      <c r="F48" s="55">
        <f>SUBTOTAL(9,F46:F47)</f>
        <v>100</v>
      </c>
      <c r="G48" s="55">
        <f>SUBTOTAL(9,G46:G47)</f>
        <v>100</v>
      </c>
      <c r="H48" s="55">
        <f>SUBTOTAL(9,H46:H47)</f>
        <v>100</v>
      </c>
    </row>
    <row r="49" spans="1:9" ht="5.25" customHeight="1" x14ac:dyDescent="0.25">
      <c r="A49" s="1"/>
      <c r="B49" s="1"/>
      <c r="C49" s="1"/>
    </row>
    <row r="50" spans="1:9" ht="14.25" thickBot="1" x14ac:dyDescent="0.3">
      <c r="A50" s="56"/>
      <c r="B50" s="56" t="s">
        <v>160</v>
      </c>
      <c r="C50" s="56"/>
      <c r="D50" s="57">
        <f>SUBTOTAL(9,D5:D48)</f>
        <v>34997.271882585876</v>
      </c>
      <c r="E50" s="57">
        <f>SUBTOTAL(9,E5:E48)</f>
        <v>3344.5800000000004</v>
      </c>
      <c r="F50" s="57">
        <f>SUBTOTAL(9,F5:F48)</f>
        <v>16467.21067855</v>
      </c>
      <c r="G50" s="57">
        <f>SUBTOTAL(9,G5:G48)</f>
        <v>7446.6134136249993</v>
      </c>
      <c r="H50" s="57">
        <f>SUBTOTAL(9,H5:H48)</f>
        <v>7738.8677904108736</v>
      </c>
    </row>
    <row r="51" spans="1:9" ht="14.25" thickBot="1" x14ac:dyDescent="0.3">
      <c r="A51" s="1"/>
      <c r="B51" s="1"/>
      <c r="C51" s="1"/>
      <c r="D51" s="36"/>
      <c r="E51" s="36"/>
      <c r="F51" s="36"/>
      <c r="G51" s="29"/>
      <c r="H51" s="29"/>
      <c r="I51" s="6"/>
    </row>
    <row r="52" spans="1:9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  <c r="I52" s="6"/>
    </row>
    <row r="53" spans="1:9" ht="6.75" customHeight="1" x14ac:dyDescent="0.25">
      <c r="A53" s="1"/>
      <c r="B53" s="1"/>
      <c r="C53" s="1"/>
      <c r="D53" s="36"/>
      <c r="E53" s="36"/>
      <c r="F53" s="36"/>
      <c r="G53" s="29"/>
      <c r="H53" s="29"/>
      <c r="I53" s="6"/>
    </row>
    <row r="54" spans="1:9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9" ht="6.75" customHeight="1" x14ac:dyDescent="0.25">
      <c r="D55" s="36"/>
      <c r="E55" s="36"/>
      <c r="F55" s="36"/>
      <c r="G55" s="29"/>
      <c r="H55" s="29"/>
      <c r="I55" s="6"/>
    </row>
    <row r="56" spans="1:9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9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9" hidden="1" x14ac:dyDescent="0.25">
      <c r="A58" s="9"/>
      <c r="B58" s="9" t="s">
        <v>37</v>
      </c>
      <c r="C58" s="9"/>
      <c r="E58" s="52">
        <v>0</v>
      </c>
    </row>
    <row r="59" spans="1:9" hidden="1" x14ac:dyDescent="0.25">
      <c r="A59" s="9"/>
      <c r="B59" s="9" t="s">
        <v>38</v>
      </c>
      <c r="C59" s="9"/>
      <c r="D59" s="53"/>
      <c r="E59" s="53">
        <v>0</v>
      </c>
    </row>
    <row r="60" spans="1:9" hidden="1" x14ac:dyDescent="0.25">
      <c r="A60" s="9"/>
      <c r="B60" s="9" t="s">
        <v>39</v>
      </c>
      <c r="C60" s="9"/>
      <c r="E60" s="52">
        <v>0</v>
      </c>
    </row>
    <row r="61" spans="1:9" hidden="1" x14ac:dyDescent="0.25">
      <c r="A61" s="9"/>
      <c r="B61" s="9" t="s">
        <v>40</v>
      </c>
      <c r="C61" s="9"/>
      <c r="E61" s="54">
        <v>0</v>
      </c>
    </row>
    <row r="62" spans="1:9" hidden="1" x14ac:dyDescent="0.25">
      <c r="A62" s="9"/>
      <c r="B62" s="9"/>
      <c r="C62" s="9"/>
    </row>
    <row r="63" spans="1:9" x14ac:dyDescent="0.25">
      <c r="B63" s="5" t="s">
        <v>23</v>
      </c>
      <c r="E63" s="52">
        <f>E64*E65</f>
        <v>742.35</v>
      </c>
      <c r="F63" s="52">
        <f t="shared" ref="F63:H63" si="25">F64*F65</f>
        <v>5807.0328749999999</v>
      </c>
      <c r="G63" s="52">
        <f t="shared" si="25"/>
        <v>6056.7352886249992</v>
      </c>
      <c r="H63" s="52">
        <f t="shared" si="25"/>
        <v>6317.1749060358734</v>
      </c>
    </row>
    <row r="64" spans="1:9" x14ac:dyDescent="0.25">
      <c r="A64" s="9"/>
      <c r="B64" s="9" t="s">
        <v>129</v>
      </c>
      <c r="C64" s="9" t="s">
        <v>128</v>
      </c>
      <c r="E64" s="52">
        <v>42</v>
      </c>
      <c r="F64" s="52">
        <f>21*3*5</f>
        <v>315</v>
      </c>
      <c r="G64" s="52">
        <f t="shared" ref="G64:H64" si="26">21*3*5</f>
        <v>315</v>
      </c>
      <c r="H64" s="52">
        <f t="shared" si="26"/>
        <v>315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2452.2300000000005</v>
      </c>
      <c r="F67" s="52">
        <f t="shared" ref="F67:H67" si="27">F68*F69</f>
        <v>2557.67589</v>
      </c>
      <c r="G67" s="52">
        <f t="shared" si="27"/>
        <v>0</v>
      </c>
      <c r="H67" s="52">
        <f t="shared" si="27"/>
        <v>0</v>
      </c>
      <c r="I67" s="70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15</v>
      </c>
      <c r="F68" s="52">
        <v>15</v>
      </c>
      <c r="G68" s="52">
        <v>0</v>
      </c>
      <c r="H68" s="52">
        <v>0</v>
      </c>
      <c r="I68" s="70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70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70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70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70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70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70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70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70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70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70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70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70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70"/>
      <c r="J85" s="6"/>
      <c r="K85" s="6"/>
      <c r="L85" s="6"/>
    </row>
    <row r="87" spans="1:12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8">F88*F89+F91*F92</f>
        <v>520</v>
      </c>
      <c r="G87" s="60">
        <f t="shared" si="28"/>
        <v>520</v>
      </c>
      <c r="H87" s="60">
        <f t="shared" si="28"/>
        <v>520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70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70"/>
      <c r="J89" s="6"/>
      <c r="K89" s="6"/>
      <c r="L89" s="6"/>
    </row>
    <row r="90" spans="1:12" hidden="1" x14ac:dyDescent="0.25"/>
    <row r="91" spans="1:12" s="7" customFormat="1" x14ac:dyDescent="0.25">
      <c r="A91" s="5"/>
      <c r="B91" s="9" t="s">
        <v>52</v>
      </c>
      <c r="C91" s="5"/>
      <c r="D91" s="52"/>
      <c r="E91" s="52">
        <v>0</v>
      </c>
      <c r="F91" s="52">
        <f>5*2</f>
        <v>10</v>
      </c>
      <c r="G91" s="52">
        <f t="shared" ref="G91:H91" si="29">5*2</f>
        <v>10</v>
      </c>
      <c r="H91" s="52">
        <f t="shared" si="29"/>
        <v>10</v>
      </c>
      <c r="I91" s="70"/>
      <c r="J91" s="6"/>
      <c r="K91" s="6"/>
      <c r="L91" s="6"/>
    </row>
    <row r="92" spans="1:12" s="7" customFormat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70"/>
      <c r="J92" s="6"/>
      <c r="K92" s="6"/>
      <c r="L92" s="6"/>
    </row>
    <row r="93" spans="1:12" hidden="1" x14ac:dyDescent="0.25"/>
    <row r="95" spans="1:12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30">F96*F97</f>
        <v>743.12691355000004</v>
      </c>
      <c r="G95" s="60">
        <f t="shared" si="30"/>
        <v>0</v>
      </c>
      <c r="H95" s="60">
        <f t="shared" si="30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1</v>
      </c>
      <c r="G96" s="52">
        <v>0</v>
      </c>
      <c r="H96" s="52">
        <v>0</v>
      </c>
      <c r="I96" s="70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70"/>
      <c r="J97" s="6"/>
      <c r="K97" s="6"/>
      <c r="L97" s="6"/>
    </row>
    <row r="99" spans="1:12" x14ac:dyDescent="0.25">
      <c r="A99" s="58"/>
      <c r="B99" s="58" t="s">
        <v>148</v>
      </c>
      <c r="C99" s="58"/>
      <c r="D99" s="60"/>
      <c r="E99" s="60">
        <f>E100*E101+E102*E103+E104*E105</f>
        <v>0</v>
      </c>
      <c r="F99" s="60">
        <f t="shared" ref="F99:H99" si="31">F100*F101+F102*F103+F104*F105</f>
        <v>709.375</v>
      </c>
      <c r="G99" s="60">
        <f t="shared" si="31"/>
        <v>739.87812499999995</v>
      </c>
      <c r="H99" s="60">
        <f t="shared" si="31"/>
        <v>771.69288437499995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32">G88</f>
        <v>0</v>
      </c>
      <c r="H101" s="52">
        <f t="shared" si="32"/>
        <v>0</v>
      </c>
    </row>
    <row r="102" spans="1:12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x14ac:dyDescent="0.25">
      <c r="B103" s="45" t="s">
        <v>153</v>
      </c>
      <c r="E103" s="52">
        <f>E104*E105</f>
        <v>0</v>
      </c>
      <c r="F103" s="52">
        <v>1</v>
      </c>
      <c r="G103" s="52">
        <v>1</v>
      </c>
      <c r="H103" s="52">
        <v>1</v>
      </c>
    </row>
    <row r="104" spans="1:12" hidden="1" x14ac:dyDescent="0.25">
      <c r="B104" s="45" t="s">
        <v>272</v>
      </c>
      <c r="C104" s="5" t="s">
        <v>155</v>
      </c>
      <c r="E104" s="52">
        <f>Training!$C$34*(100%-Training!$C$38)</f>
        <v>50</v>
      </c>
      <c r="F104" s="52">
        <f>Training!$C$34*(100%-Training!$C$38)</f>
        <v>50</v>
      </c>
      <c r="G104" s="52">
        <f>Training!$C$34*(100%-Training!$C$38)</f>
        <v>50</v>
      </c>
      <c r="H104" s="52">
        <f>Training!$C$34*(100%-Training!$C$38)</f>
        <v>50</v>
      </c>
    </row>
    <row r="105" spans="1:12" hidden="1" x14ac:dyDescent="0.25">
      <c r="B105" s="45" t="s">
        <v>151</v>
      </c>
      <c r="E105" s="52">
        <v>0</v>
      </c>
      <c r="F105" s="52">
        <v>0</v>
      </c>
      <c r="G105" s="52">
        <v>0</v>
      </c>
      <c r="H105" s="52">
        <v>0</v>
      </c>
    </row>
    <row r="106" spans="1:12" x14ac:dyDescent="0.25">
      <c r="B106" s="45"/>
    </row>
    <row r="107" spans="1:12" x14ac:dyDescent="0.25">
      <c r="A107" s="58"/>
      <c r="B107" s="58" t="s">
        <v>24</v>
      </c>
      <c r="C107" s="58"/>
      <c r="D107" s="60"/>
      <c r="E107" s="60">
        <f>E108*E109</f>
        <v>150</v>
      </c>
      <c r="F107" s="60">
        <f t="shared" ref="F107:H107" si="33">F108*F109</f>
        <v>0</v>
      </c>
      <c r="G107" s="60">
        <f t="shared" si="33"/>
        <v>0</v>
      </c>
      <c r="H107" s="60">
        <f t="shared" si="33"/>
        <v>0</v>
      </c>
    </row>
    <row r="108" spans="1:12" s="7" customFormat="1" x14ac:dyDescent="0.25">
      <c r="A108" s="5"/>
      <c r="B108" s="45" t="s">
        <v>54</v>
      </c>
      <c r="C108" s="5"/>
      <c r="D108" s="52"/>
      <c r="E108" s="52">
        <v>25</v>
      </c>
      <c r="F108" s="52">
        <v>0</v>
      </c>
      <c r="G108" s="52"/>
      <c r="H108" s="52"/>
      <c r="I108" s="70"/>
      <c r="J108" s="6"/>
      <c r="K108" s="6"/>
      <c r="L108" s="6"/>
    </row>
    <row r="109" spans="1:12" s="7" customFormat="1" x14ac:dyDescent="0.25">
      <c r="A109" s="5"/>
      <c r="B109" s="45" t="s">
        <v>55</v>
      </c>
      <c r="C109" s="5"/>
      <c r="D109" s="52"/>
      <c r="E109" s="52">
        <f>'Rates and GI'!D30</f>
        <v>6</v>
      </c>
      <c r="F109" s="52">
        <f>E109*(1+index)</f>
        <v>6.2579999999999991</v>
      </c>
      <c r="G109" s="52">
        <f>F109*(1+index)</f>
        <v>6.5270939999999991</v>
      </c>
      <c r="H109" s="52">
        <f>G109*(1+index)</f>
        <v>6.8077590419999989</v>
      </c>
      <c r="I109" s="70"/>
      <c r="J109" s="6"/>
      <c r="K109" s="6"/>
      <c r="L109" s="6"/>
    </row>
    <row r="111" spans="1:12" hidden="1" x14ac:dyDescent="0.25">
      <c r="A111" s="58"/>
      <c r="B111" s="58" t="s">
        <v>7</v>
      </c>
      <c r="C111" s="58"/>
      <c r="D111" s="60"/>
      <c r="E111" s="60"/>
      <c r="F111" s="60"/>
      <c r="G111" s="60"/>
      <c r="H111" s="60"/>
    </row>
    <row r="112" spans="1:12" s="7" customFormat="1" hidden="1" x14ac:dyDescent="0.25">
      <c r="A112" s="5"/>
      <c r="B112" s="4" t="s">
        <v>58</v>
      </c>
      <c r="C112" s="5"/>
      <c r="D112" s="52"/>
      <c r="E112" s="52"/>
      <c r="F112" s="52"/>
      <c r="G112" s="44"/>
      <c r="H112" s="44"/>
      <c r="I112" s="70"/>
      <c r="J112" s="6"/>
      <c r="K112" s="6"/>
      <c r="L112" s="6"/>
    </row>
    <row r="113" spans="1:12" s="51" customFormat="1" hidden="1" x14ac:dyDescent="0.25">
      <c r="A113" s="46"/>
      <c r="B113" s="47" t="s">
        <v>59</v>
      </c>
      <c r="C113" s="46" t="s">
        <v>56</v>
      </c>
      <c r="D113" s="91"/>
      <c r="E113" s="91"/>
      <c r="F113" s="91"/>
      <c r="G113" s="92"/>
      <c r="H113" s="92"/>
      <c r="I113" s="104"/>
      <c r="J113" s="50"/>
      <c r="K113" s="50"/>
      <c r="L113" s="50"/>
    </row>
    <row r="114" spans="1:12" s="46" customFormat="1" hidden="1" x14ac:dyDescent="0.25">
      <c r="B114" s="47" t="s">
        <v>57</v>
      </c>
      <c r="D114" s="91"/>
      <c r="E114" s="91"/>
      <c r="F114" s="91"/>
      <c r="G114" s="92"/>
      <c r="H114" s="92"/>
      <c r="I114" s="104"/>
      <c r="J114" s="50"/>
      <c r="K114" s="50"/>
      <c r="L114" s="50"/>
    </row>
    <row r="115" spans="1:12" s="46" customFormat="1" hidden="1" x14ac:dyDescent="0.25">
      <c r="B115" s="47" t="s">
        <v>60</v>
      </c>
      <c r="D115" s="91"/>
      <c r="E115" s="91"/>
      <c r="F115" s="91"/>
      <c r="G115" s="92"/>
      <c r="H115" s="92"/>
      <c r="I115" s="104"/>
      <c r="J115" s="50"/>
      <c r="K115" s="50"/>
      <c r="L115" s="50"/>
    </row>
    <row r="116" spans="1:12" hidden="1" x14ac:dyDescent="0.25"/>
    <row r="117" spans="1:12" x14ac:dyDescent="0.25">
      <c r="A117" s="58"/>
      <c r="B117" s="58" t="s">
        <v>26</v>
      </c>
      <c r="C117" s="58"/>
      <c r="D117" s="60"/>
      <c r="E117" s="60">
        <f>E122*E123</f>
        <v>0</v>
      </c>
      <c r="F117" s="60">
        <f>F122*F123</f>
        <v>1750</v>
      </c>
      <c r="G117" s="60"/>
      <c r="H117" s="60"/>
    </row>
    <row r="118" spans="1:12" s="5" customFormat="1" hidden="1" x14ac:dyDescent="0.25">
      <c r="B118" s="63" t="s">
        <v>61</v>
      </c>
      <c r="D118" s="52"/>
      <c r="E118" s="52"/>
      <c r="F118" s="52"/>
      <c r="G118" s="44"/>
      <c r="H118" s="44"/>
      <c r="I118" s="70"/>
      <c r="J118" s="6"/>
      <c r="K118" s="6"/>
      <c r="L118" s="6"/>
    </row>
    <row r="119" spans="1:12" s="5" customFormat="1" hidden="1" x14ac:dyDescent="0.25">
      <c r="B119" s="47" t="s">
        <v>166</v>
      </c>
      <c r="D119" s="52"/>
      <c r="E119" s="52"/>
      <c r="F119" s="52"/>
      <c r="G119" s="44"/>
      <c r="H119" s="44"/>
      <c r="I119" s="70"/>
      <c r="J119" s="6"/>
      <c r="K119" s="6"/>
      <c r="L119" s="6"/>
    </row>
    <row r="120" spans="1:12" s="5" customFormat="1" hidden="1" x14ac:dyDescent="0.25">
      <c r="B120" s="47" t="s">
        <v>165</v>
      </c>
      <c r="D120" s="52"/>
      <c r="E120" s="52"/>
      <c r="F120" s="52"/>
      <c r="G120" s="44"/>
      <c r="H120" s="44"/>
      <c r="I120" s="70"/>
      <c r="J120" s="6"/>
      <c r="K120" s="6"/>
      <c r="L120" s="6"/>
    </row>
    <row r="121" spans="1:12" s="5" customFormat="1" x14ac:dyDescent="0.25">
      <c r="B121" s="63" t="s">
        <v>140</v>
      </c>
      <c r="D121" s="52"/>
      <c r="E121" s="52"/>
      <c r="F121" s="52"/>
      <c r="G121" s="44"/>
      <c r="H121" s="44"/>
      <c r="I121" s="70"/>
      <c r="J121" s="6"/>
      <c r="K121" s="6"/>
      <c r="L121" s="6"/>
    </row>
    <row r="122" spans="1:12" s="5" customFormat="1" x14ac:dyDescent="0.25">
      <c r="B122" s="47" t="s">
        <v>166</v>
      </c>
      <c r="D122" s="52"/>
      <c r="E122" s="52">
        <f>'Rates and GI'!$D$39</f>
        <v>350</v>
      </c>
      <c r="F122" s="52">
        <f>'Rates and GI'!$D$39</f>
        <v>350</v>
      </c>
      <c r="G122" s="52">
        <f>'Rates and GI'!$D$39</f>
        <v>350</v>
      </c>
      <c r="H122" s="52">
        <f>'Rates and GI'!$D$39</f>
        <v>350</v>
      </c>
      <c r="I122" s="70"/>
      <c r="J122" s="6"/>
      <c r="K122" s="6"/>
      <c r="L122" s="6"/>
    </row>
    <row r="123" spans="1:12" s="5" customFormat="1" x14ac:dyDescent="0.25">
      <c r="B123" s="47" t="s">
        <v>165</v>
      </c>
      <c r="D123" s="52"/>
      <c r="E123" s="52">
        <v>0</v>
      </c>
      <c r="F123" s="52">
        <v>5</v>
      </c>
      <c r="G123" s="44"/>
      <c r="H123" s="44"/>
      <c r="I123" s="70"/>
      <c r="J123" s="6"/>
      <c r="K123" s="6"/>
      <c r="L123" s="6"/>
    </row>
    <row r="124" spans="1:12" s="5" customFormat="1" hidden="1" x14ac:dyDescent="0.25">
      <c r="B124" s="63" t="s">
        <v>8</v>
      </c>
      <c r="D124" s="52"/>
      <c r="E124" s="52"/>
      <c r="F124" s="52"/>
      <c r="G124" s="44"/>
      <c r="H124" s="44"/>
      <c r="I124" s="70"/>
      <c r="J124" s="6"/>
      <c r="K124" s="6"/>
      <c r="L124" s="6"/>
    </row>
    <row r="125" spans="1:12" s="5" customFormat="1" hidden="1" x14ac:dyDescent="0.25">
      <c r="B125" s="47" t="s">
        <v>166</v>
      </c>
      <c r="D125" s="52"/>
      <c r="E125" s="52"/>
      <c r="F125" s="52"/>
      <c r="G125" s="44"/>
      <c r="H125" s="44"/>
      <c r="I125" s="70"/>
      <c r="J125" s="6"/>
      <c r="K125" s="6"/>
      <c r="L125" s="6"/>
    </row>
    <row r="126" spans="1:12" s="5" customFormat="1" hidden="1" x14ac:dyDescent="0.25">
      <c r="B126" s="47" t="s">
        <v>165</v>
      </c>
      <c r="D126" s="52"/>
      <c r="E126" s="52"/>
      <c r="F126" s="52"/>
      <c r="G126" s="44"/>
      <c r="H126" s="44"/>
      <c r="I126" s="70"/>
      <c r="J126" s="6"/>
      <c r="K126" s="6"/>
      <c r="L126" s="6"/>
    </row>
    <row r="128" spans="1:12" x14ac:dyDescent="0.25">
      <c r="A128" s="58"/>
      <c r="B128" s="58" t="s">
        <v>25</v>
      </c>
      <c r="C128" s="58"/>
      <c r="D128" s="60"/>
      <c r="E128" s="60">
        <f>E129+E132</f>
        <v>0</v>
      </c>
      <c r="F128" s="60">
        <f t="shared" ref="F128:H128" si="34">F129+F132</f>
        <v>6030</v>
      </c>
      <c r="G128" s="60">
        <f t="shared" si="34"/>
        <v>30</v>
      </c>
      <c r="H128" s="60">
        <f t="shared" si="34"/>
        <v>30</v>
      </c>
    </row>
    <row r="129" spans="1:12" s="5" customFormat="1" x14ac:dyDescent="0.25">
      <c r="B129" s="5" t="s">
        <v>281</v>
      </c>
      <c r="D129" s="52"/>
      <c r="E129" s="52"/>
      <c r="F129" s="52">
        <v>6000</v>
      </c>
      <c r="G129" s="44"/>
      <c r="H129" s="44"/>
      <c r="I129" s="70"/>
      <c r="J129" s="6"/>
      <c r="K129" s="6"/>
      <c r="L129" s="6"/>
    </row>
    <row r="130" spans="1:12" s="5" customFormat="1" hidden="1" x14ac:dyDescent="0.25">
      <c r="B130" s="47"/>
      <c r="D130" s="52"/>
      <c r="E130" s="52"/>
      <c r="F130" s="52"/>
      <c r="G130" s="44"/>
      <c r="H130" s="44"/>
      <c r="I130" s="70"/>
      <c r="J130" s="6"/>
      <c r="K130" s="6"/>
      <c r="L130" s="6"/>
    </row>
    <row r="131" spans="1:12" s="5" customFormat="1" x14ac:dyDescent="0.25">
      <c r="B131" s="47"/>
      <c r="D131" s="52"/>
      <c r="E131" s="52"/>
      <c r="F131" s="52"/>
      <c r="G131" s="44"/>
      <c r="H131" s="44"/>
      <c r="I131" s="70"/>
      <c r="J131" s="6"/>
      <c r="K131" s="6"/>
      <c r="L131" s="6"/>
    </row>
    <row r="132" spans="1:12" s="5" customFormat="1" x14ac:dyDescent="0.25">
      <c r="B132" s="5" t="s">
        <v>173</v>
      </c>
      <c r="D132" s="52"/>
      <c r="E132" s="52">
        <f>E133+E134*E135</f>
        <v>0</v>
      </c>
      <c r="F132" s="52">
        <f>F133+F134*F135</f>
        <v>30</v>
      </c>
      <c r="G132" s="52">
        <f t="shared" ref="G132:H132" si="35">G133+G134*G135</f>
        <v>30</v>
      </c>
      <c r="H132" s="52">
        <f t="shared" si="35"/>
        <v>30</v>
      </c>
      <c r="I132" s="94"/>
    </row>
    <row r="133" spans="1:12" hidden="1" x14ac:dyDescent="0.25">
      <c r="B133" s="47" t="s">
        <v>172</v>
      </c>
      <c r="F133" s="52">
        <f>'Rates and GI'!D57*0</f>
        <v>0</v>
      </c>
    </row>
    <row r="134" spans="1:12" x14ac:dyDescent="0.25">
      <c r="B134" s="47" t="s">
        <v>178</v>
      </c>
      <c r="E134" s="68">
        <f>'Rates and GI'!$D$59</f>
        <v>0.02</v>
      </c>
      <c r="F134" s="68">
        <f>'Rates and GI'!$D$59</f>
        <v>0.02</v>
      </c>
      <c r="G134" s="68">
        <f>'Rates and GI'!$D$59</f>
        <v>0.02</v>
      </c>
      <c r="H134" s="68">
        <f>'Rates and GI'!$D$59</f>
        <v>0.02</v>
      </c>
    </row>
    <row r="135" spans="1:12" x14ac:dyDescent="0.25">
      <c r="B135" s="47" t="s">
        <v>179</v>
      </c>
      <c r="E135" s="52">
        <v>0</v>
      </c>
      <c r="F135" s="52">
        <f>300*5</f>
        <v>1500</v>
      </c>
      <c r="G135" s="52">
        <f t="shared" ref="G135:H135" si="36">300*5</f>
        <v>1500</v>
      </c>
      <c r="H135" s="52">
        <f t="shared" si="36"/>
        <v>1500</v>
      </c>
    </row>
    <row r="136" spans="1:12" s="5" customFormat="1" x14ac:dyDescent="0.25">
      <c r="B136" s="47"/>
      <c r="D136" s="52"/>
      <c r="E136" s="52"/>
      <c r="F136" s="52"/>
      <c r="G136" s="44"/>
      <c r="H136" s="44"/>
      <c r="I136" s="70"/>
      <c r="J136" s="6"/>
      <c r="K136" s="6"/>
      <c r="L136" s="6"/>
    </row>
    <row r="137" spans="1:12" x14ac:dyDescent="0.25">
      <c r="A137" s="58"/>
      <c r="B137" s="58" t="s">
        <v>21</v>
      </c>
      <c r="C137" s="58"/>
      <c r="D137" s="60"/>
      <c r="E137" s="60">
        <f>E138*E139+E140*E141++E142*E143+E144*E145</f>
        <v>0</v>
      </c>
      <c r="F137" s="60">
        <f t="shared" ref="F137:H137" si="37">F138*F139+F140*F141++F142*F143+F144*F145</f>
        <v>100</v>
      </c>
      <c r="G137" s="60">
        <f t="shared" si="37"/>
        <v>100</v>
      </c>
      <c r="H137" s="60">
        <f t="shared" si="37"/>
        <v>100</v>
      </c>
    </row>
    <row r="138" spans="1:12" hidden="1" x14ac:dyDescent="0.25">
      <c r="B138" s="47" t="s">
        <v>169</v>
      </c>
      <c r="G138" s="52">
        <v>0</v>
      </c>
      <c r="H138" s="52"/>
    </row>
    <row r="139" spans="1:12" hidden="1" x14ac:dyDescent="0.25">
      <c r="B139" s="47" t="s">
        <v>170</v>
      </c>
      <c r="E139" s="52">
        <f>'Rates and GI'!$D$69</f>
        <v>5000</v>
      </c>
      <c r="F139" s="52">
        <f>'Rates and GI'!$D$69</f>
        <v>5000</v>
      </c>
      <c r="G139" s="52">
        <f>'Rates and GI'!$D$69</f>
        <v>5000</v>
      </c>
      <c r="H139" s="52">
        <f>'Rates and GI'!$D$69</f>
        <v>5000</v>
      </c>
    </row>
    <row r="140" spans="1:12" hidden="1" x14ac:dyDescent="0.25">
      <c r="B140" s="47" t="s">
        <v>167</v>
      </c>
      <c r="F140" s="52">
        <v>0</v>
      </c>
      <c r="G140" s="52">
        <v>0</v>
      </c>
      <c r="H140" s="52">
        <v>0</v>
      </c>
    </row>
    <row r="141" spans="1:12" hidden="1" x14ac:dyDescent="0.25">
      <c r="B141" s="47" t="s">
        <v>168</v>
      </c>
      <c r="E141" s="52">
        <f>'Rates and GI'!$D$70</f>
        <v>1500</v>
      </c>
      <c r="F141" s="52">
        <f>'Rates and GI'!$D$70</f>
        <v>1500</v>
      </c>
      <c r="G141" s="52">
        <f>'Rates and GI'!$D$70</f>
        <v>1500</v>
      </c>
      <c r="H141" s="52">
        <f>'Rates and GI'!$D$70</f>
        <v>1500</v>
      </c>
    </row>
    <row r="142" spans="1:12" ht="27" hidden="1" x14ac:dyDescent="0.25">
      <c r="B142" s="71" t="s">
        <v>183</v>
      </c>
      <c r="E142" s="52">
        <v>0</v>
      </c>
      <c r="F142" s="52">
        <v>0</v>
      </c>
      <c r="G142" s="52">
        <v>0</v>
      </c>
      <c r="H142" s="52">
        <v>0</v>
      </c>
    </row>
    <row r="143" spans="1:12" ht="27" hidden="1" x14ac:dyDescent="0.25">
      <c r="B143" s="71" t="s">
        <v>182</v>
      </c>
      <c r="E143" s="52">
        <f>'Rates and GI'!$D$71</f>
        <v>200</v>
      </c>
      <c r="F143" s="52">
        <f>'Rates and GI'!$D$71</f>
        <v>200</v>
      </c>
      <c r="G143" s="52">
        <f>'Rates and GI'!$D$71</f>
        <v>200</v>
      </c>
      <c r="H143" s="52">
        <f>'Rates and GI'!$D$71</f>
        <v>200</v>
      </c>
    </row>
    <row r="144" spans="1:12" s="5" customFormat="1" x14ac:dyDescent="0.25">
      <c r="B144" s="47" t="s">
        <v>354</v>
      </c>
      <c r="D144" s="52"/>
      <c r="E144" s="52">
        <v>0</v>
      </c>
      <c r="F144" s="52">
        <v>2</v>
      </c>
      <c r="G144" s="52">
        <v>2</v>
      </c>
      <c r="H144" s="52">
        <v>2</v>
      </c>
      <c r="I144" s="70"/>
      <c r="J144" s="6"/>
      <c r="K144" s="6"/>
      <c r="L144" s="6"/>
    </row>
    <row r="145" spans="1:12" s="5" customFormat="1" x14ac:dyDescent="0.25">
      <c r="B145" s="47" t="s">
        <v>349</v>
      </c>
      <c r="D145" s="52"/>
      <c r="E145" s="52">
        <f>'Rates and GI'!$D$72</f>
        <v>50</v>
      </c>
      <c r="F145" s="52">
        <f>'Rates and GI'!$D$72</f>
        <v>50</v>
      </c>
      <c r="G145" s="44">
        <f>'Rates and GI'!$D$72</f>
        <v>50</v>
      </c>
      <c r="H145" s="44">
        <f>'Rates and GI'!$D$72</f>
        <v>50</v>
      </c>
      <c r="I145" s="70"/>
      <c r="J145" s="6"/>
      <c r="K145" s="6"/>
      <c r="L145" s="6"/>
    </row>
    <row r="146" spans="1:12" x14ac:dyDescent="0.25">
      <c r="A146" s="58"/>
      <c r="B146" s="58"/>
      <c r="C146" s="58"/>
      <c r="D146" s="60"/>
      <c r="E146" s="60"/>
      <c r="F146" s="60"/>
      <c r="G146" s="60"/>
      <c r="H146" s="60"/>
    </row>
    <row r="147" spans="1:12" hidden="1" x14ac:dyDescent="0.25">
      <c r="A147" s="58"/>
      <c r="B147" s="58" t="s">
        <v>218</v>
      </c>
      <c r="C147" s="58"/>
      <c r="D147" s="60"/>
      <c r="E147" s="60">
        <f>E148+E151+E154+E163+E168</f>
        <v>0</v>
      </c>
      <c r="F147" s="60">
        <f t="shared" ref="F147:H147" si="38">F148+F151+F154+F163+F168</f>
        <v>0</v>
      </c>
      <c r="G147" s="60">
        <f t="shared" si="38"/>
        <v>0</v>
      </c>
      <c r="H147" s="60">
        <f t="shared" si="38"/>
        <v>0</v>
      </c>
    </row>
    <row r="148" spans="1:12" s="5" customFormat="1" hidden="1" x14ac:dyDescent="0.25">
      <c r="B148" s="5" t="s">
        <v>197</v>
      </c>
      <c r="D148" s="52"/>
      <c r="E148" s="52">
        <f>E149+E152*E153</f>
        <v>0</v>
      </c>
      <c r="F148" s="52">
        <f>F149+F152*F153</f>
        <v>0</v>
      </c>
      <c r="G148" s="52">
        <f>G149+G152*G153</f>
        <v>0</v>
      </c>
      <c r="H148" s="52">
        <f t="shared" ref="H148" si="39">H149+H152*H153</f>
        <v>0</v>
      </c>
      <c r="I148" s="94"/>
    </row>
    <row r="149" spans="1:12" hidden="1" x14ac:dyDescent="0.25">
      <c r="B149" s="47" t="s">
        <v>208</v>
      </c>
      <c r="F149" s="52">
        <f>('Rates and GI'!$D$56+'Rates and GI'!$D$60)*0</f>
        <v>0</v>
      </c>
      <c r="G149" s="52">
        <f>('Rates and GI'!$D$56+'Rates and GI'!$D$60)*0</f>
        <v>0</v>
      </c>
      <c r="H149" s="52"/>
    </row>
    <row r="150" spans="1:12" hidden="1" x14ac:dyDescent="0.25">
      <c r="B150" s="47" t="s">
        <v>211</v>
      </c>
      <c r="F150" s="52">
        <f>'Rates and GI'!$D$62</f>
        <v>300</v>
      </c>
      <c r="G150" s="52">
        <f>'Rates and GI'!$D$62</f>
        <v>300</v>
      </c>
      <c r="H150" s="52"/>
    </row>
    <row r="151" spans="1:12" hidden="1" x14ac:dyDescent="0.25">
      <c r="B151" s="5" t="s">
        <v>198</v>
      </c>
      <c r="E151" s="52">
        <f>E152*E153</f>
        <v>0</v>
      </c>
      <c r="F151" s="52">
        <f t="shared" ref="F151:H151" si="40">F152*F153</f>
        <v>0</v>
      </c>
      <c r="G151" s="52">
        <f t="shared" si="40"/>
        <v>0</v>
      </c>
      <c r="H151" s="52">
        <f t="shared" si="40"/>
        <v>0</v>
      </c>
    </row>
    <row r="152" spans="1:12" hidden="1" x14ac:dyDescent="0.25">
      <c r="B152" s="47" t="s">
        <v>186</v>
      </c>
      <c r="F152" s="52">
        <f>'Rates and GI'!$D$65</f>
        <v>24.1465</v>
      </c>
      <c r="G152" s="52">
        <f>'Rates and GI'!$D$65</f>
        <v>24.1465</v>
      </c>
      <c r="H152" s="52">
        <f>'Rates and GI'!$D$65</f>
        <v>24.1465</v>
      </c>
    </row>
    <row r="153" spans="1:12" hidden="1" x14ac:dyDescent="0.25">
      <c r="B153" s="47" t="s">
        <v>185</v>
      </c>
      <c r="F153" s="52">
        <v>0</v>
      </c>
      <c r="G153" s="44">
        <v>0</v>
      </c>
      <c r="H153" s="44">
        <v>0</v>
      </c>
    </row>
    <row r="154" spans="1:12" hidden="1" x14ac:dyDescent="0.25">
      <c r="B154" s="5" t="s">
        <v>199</v>
      </c>
      <c r="E154" s="52">
        <f>E155+E159</f>
        <v>0</v>
      </c>
      <c r="F154" s="52">
        <f t="shared" ref="F154:H154" si="41">F155+F159</f>
        <v>0</v>
      </c>
      <c r="G154" s="52">
        <f t="shared" si="41"/>
        <v>0</v>
      </c>
      <c r="H154" s="52">
        <f t="shared" si="41"/>
        <v>0</v>
      </c>
    </row>
    <row r="155" spans="1:12" hidden="1" x14ac:dyDescent="0.25">
      <c r="B155" s="47" t="s">
        <v>213</v>
      </c>
      <c r="E155" s="52">
        <f>E156*E157</f>
        <v>0</v>
      </c>
      <c r="F155" s="52">
        <f t="shared" ref="F155:H155" si="42">F156*F157</f>
        <v>0</v>
      </c>
      <c r="G155" s="52">
        <f t="shared" si="42"/>
        <v>0</v>
      </c>
      <c r="H155" s="52">
        <f t="shared" si="42"/>
        <v>0</v>
      </c>
    </row>
    <row r="156" spans="1:12" hidden="1" x14ac:dyDescent="0.25">
      <c r="B156" s="47" t="s">
        <v>200</v>
      </c>
      <c r="C156" s="5" t="s">
        <v>201</v>
      </c>
      <c r="E156" s="52">
        <v>0</v>
      </c>
      <c r="F156" s="52">
        <v>0</v>
      </c>
      <c r="G156" s="44">
        <v>0</v>
      </c>
      <c r="H156" s="44">
        <v>0</v>
      </c>
    </row>
    <row r="157" spans="1:12" hidden="1" x14ac:dyDescent="0.25">
      <c r="B157" s="47" t="s">
        <v>202</v>
      </c>
      <c r="E157" s="52">
        <f>'Rates and GI'!$D$63</f>
        <v>150</v>
      </c>
      <c r="F157" s="52">
        <f>'Rates and GI'!$D$63</f>
        <v>150</v>
      </c>
      <c r="G157" s="52">
        <f>'Rates and GI'!$D$63</f>
        <v>150</v>
      </c>
      <c r="H157" s="52">
        <f>'Rates and GI'!$D$63</f>
        <v>150</v>
      </c>
    </row>
    <row r="158" spans="1:12" hidden="1" x14ac:dyDescent="0.25">
      <c r="B158" s="6"/>
    </row>
    <row r="159" spans="1:12" hidden="1" x14ac:dyDescent="0.25">
      <c r="B159" s="47" t="s">
        <v>214</v>
      </c>
      <c r="E159" s="52">
        <f>E160*E161</f>
        <v>0</v>
      </c>
      <c r="F159" s="52">
        <f t="shared" ref="F159:H159" si="43">F160*F161</f>
        <v>0</v>
      </c>
      <c r="G159" s="52">
        <f t="shared" si="43"/>
        <v>0</v>
      </c>
      <c r="H159" s="52">
        <f t="shared" si="43"/>
        <v>0</v>
      </c>
    </row>
    <row r="160" spans="1:12" hidden="1" x14ac:dyDescent="0.25">
      <c r="B160" s="47" t="s">
        <v>200</v>
      </c>
      <c r="C160" s="5" t="s">
        <v>201</v>
      </c>
      <c r="E160" s="52">
        <v>0</v>
      </c>
      <c r="F160" s="52">
        <v>0</v>
      </c>
      <c r="G160" s="44">
        <v>0</v>
      </c>
      <c r="H160" s="44">
        <v>0</v>
      </c>
    </row>
    <row r="161" spans="1:8" hidden="1" x14ac:dyDescent="0.25">
      <c r="B161" s="47" t="s">
        <v>202</v>
      </c>
      <c r="E161" s="52">
        <f>'Rates and GI'!$D$64</f>
        <v>20</v>
      </c>
      <c r="F161" s="52">
        <f>'Rates and GI'!$D$64</f>
        <v>20</v>
      </c>
      <c r="G161" s="52">
        <f>'Rates and GI'!$D$64</f>
        <v>20</v>
      </c>
      <c r="H161" s="52">
        <f>'Rates and GI'!$D$64</f>
        <v>20</v>
      </c>
    </row>
    <row r="162" spans="1:8" hidden="1" x14ac:dyDescent="0.25">
      <c r="B162" s="6"/>
    </row>
    <row r="163" spans="1:8" hidden="1" x14ac:dyDescent="0.25">
      <c r="B163" s="5" t="s">
        <v>203</v>
      </c>
      <c r="E163" s="52">
        <f>E164*E165*E166</f>
        <v>0</v>
      </c>
      <c r="F163" s="52">
        <f t="shared" ref="F163:H163" si="44">F164*F165*F166</f>
        <v>0</v>
      </c>
      <c r="G163" s="52">
        <f t="shared" si="44"/>
        <v>0</v>
      </c>
      <c r="H163" s="52">
        <f t="shared" si="44"/>
        <v>0</v>
      </c>
    </row>
    <row r="164" spans="1:8" hidden="1" x14ac:dyDescent="0.25">
      <c r="B164" s="47" t="s">
        <v>215</v>
      </c>
      <c r="F164" s="52">
        <f>'Rates and GI'!$D$66</f>
        <v>300</v>
      </c>
      <c r="G164" s="52">
        <f>'Rates and GI'!$D$66</f>
        <v>300</v>
      </c>
      <c r="H164" s="52">
        <f>'Rates and GI'!$D$66</f>
        <v>300</v>
      </c>
    </row>
    <row r="165" spans="1:8" hidden="1" x14ac:dyDescent="0.25">
      <c r="B165" s="47" t="s">
        <v>216</v>
      </c>
      <c r="F165" s="52">
        <v>3</v>
      </c>
      <c r="G165" s="52">
        <v>3</v>
      </c>
      <c r="H165" s="52">
        <v>3</v>
      </c>
    </row>
    <row r="166" spans="1:8" hidden="1" x14ac:dyDescent="0.25">
      <c r="B166" s="47" t="s">
        <v>217</v>
      </c>
      <c r="F166" s="52">
        <v>0</v>
      </c>
      <c r="G166" s="52">
        <v>0</v>
      </c>
      <c r="H166" s="52">
        <v>0</v>
      </c>
    </row>
    <row r="167" spans="1:8" hidden="1" x14ac:dyDescent="0.25"/>
    <row r="168" spans="1:8" hidden="1" x14ac:dyDescent="0.25">
      <c r="B168" s="5" t="s">
        <v>196</v>
      </c>
      <c r="E168" s="52">
        <f>E169+E170*E171</f>
        <v>0</v>
      </c>
      <c r="F168" s="52">
        <f>F169+F170*F171</f>
        <v>0</v>
      </c>
      <c r="G168" s="52">
        <f>G169+G170*G171</f>
        <v>0</v>
      </c>
      <c r="H168" s="52">
        <f>H169+H170*H171</f>
        <v>0</v>
      </c>
    </row>
    <row r="169" spans="1:8" hidden="1" x14ac:dyDescent="0.25">
      <c r="B169" s="47" t="s">
        <v>172</v>
      </c>
      <c r="F169" s="52">
        <f>'Rates and GI'!D57*0</f>
        <v>0</v>
      </c>
    </row>
    <row r="170" spans="1:8" hidden="1" x14ac:dyDescent="0.25">
      <c r="B170" s="47" t="s">
        <v>178</v>
      </c>
      <c r="F170" s="75">
        <f>'Rates and GI'!$D$58</f>
        <v>0.05</v>
      </c>
      <c r="G170" s="75">
        <f>'Rates and GI'!$D$58</f>
        <v>0.05</v>
      </c>
      <c r="H170" s="75">
        <f>'Rates and GI'!$D$58</f>
        <v>0.05</v>
      </c>
    </row>
    <row r="171" spans="1:8" hidden="1" x14ac:dyDescent="0.25">
      <c r="B171" s="47" t="s">
        <v>179</v>
      </c>
      <c r="F171" s="52">
        <v>0</v>
      </c>
      <c r="G171" s="44">
        <v>0</v>
      </c>
    </row>
    <row r="172" spans="1:8" hidden="1" x14ac:dyDescent="0.25"/>
    <row r="173" spans="1:8" hidden="1" x14ac:dyDescent="0.25"/>
    <row r="174" spans="1:8" hidden="1" x14ac:dyDescent="0.25">
      <c r="A174" s="58"/>
      <c r="B174" s="58" t="s">
        <v>19</v>
      </c>
      <c r="C174" s="58"/>
      <c r="D174" s="60"/>
      <c r="E174" s="60">
        <v>0</v>
      </c>
      <c r="F174" s="60">
        <v>0</v>
      </c>
      <c r="G174" s="60">
        <v>0</v>
      </c>
      <c r="H174" s="60">
        <v>0</v>
      </c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F74"/>
  <sheetViews>
    <sheetView topLeftCell="A43" workbookViewId="0">
      <selection activeCell="B57" sqref="B57"/>
    </sheetView>
  </sheetViews>
  <sheetFormatPr defaultRowHeight="13.5" x14ac:dyDescent="0.25"/>
  <cols>
    <col min="1" max="1" width="55.5703125" style="6" customWidth="1"/>
    <col min="2" max="2" width="25.5703125" style="6" customWidth="1"/>
    <col min="3" max="3" width="12.5703125" style="6" customWidth="1"/>
    <col min="4" max="4" width="15" style="29" customWidth="1"/>
    <col min="5" max="5" width="14.5703125" style="29" customWidth="1"/>
    <col min="6" max="6" width="43.140625" style="6" customWidth="1"/>
    <col min="7" max="16384" width="9.140625" style="6"/>
  </cols>
  <sheetData>
    <row r="1" spans="1:6" x14ac:dyDescent="0.25">
      <c r="A1" s="21" t="s">
        <v>78</v>
      </c>
      <c r="B1" s="22"/>
      <c r="C1" s="22"/>
      <c r="D1" s="28"/>
      <c r="E1" s="28"/>
    </row>
    <row r="2" spans="1:6" x14ac:dyDescent="0.25">
      <c r="A2" s="64" t="s">
        <v>29</v>
      </c>
      <c r="B2" s="65">
        <v>43466</v>
      </c>
      <c r="C2" s="22"/>
      <c r="D2" s="28"/>
      <c r="E2" s="28"/>
    </row>
    <row r="3" spans="1:6" x14ac:dyDescent="0.25">
      <c r="A3" s="17"/>
    </row>
    <row r="4" spans="1:6" s="23" customFormat="1" ht="34.5" customHeight="1" x14ac:dyDescent="0.25">
      <c r="A4" s="24" t="s">
        <v>67</v>
      </c>
      <c r="B4" s="24" t="s">
        <v>100</v>
      </c>
      <c r="C4" s="24" t="s">
        <v>101</v>
      </c>
      <c r="D4" s="24" t="s">
        <v>102</v>
      </c>
      <c r="E4" s="24" t="s">
        <v>103</v>
      </c>
      <c r="F4" s="24" t="s">
        <v>66</v>
      </c>
    </row>
    <row r="5" spans="1:6" x14ac:dyDescent="0.25">
      <c r="A5" s="18" t="s">
        <v>30</v>
      </c>
    </row>
    <row r="6" spans="1:6" x14ac:dyDescent="0.25">
      <c r="A6" s="17" t="s">
        <v>31</v>
      </c>
      <c r="D6" s="31">
        <f>482.93/1000</f>
        <v>0.48293000000000003</v>
      </c>
      <c r="F6" s="17" t="s">
        <v>104</v>
      </c>
    </row>
    <row r="7" spans="1:6" x14ac:dyDescent="0.25">
      <c r="A7" s="17" t="s">
        <v>32</v>
      </c>
      <c r="D7" s="31">
        <f>544.94/1000</f>
        <v>0.54494000000000009</v>
      </c>
      <c r="F7" s="17" t="s">
        <v>104</v>
      </c>
    </row>
    <row r="8" spans="1:6" x14ac:dyDescent="0.25">
      <c r="A8" s="17" t="s">
        <v>115</v>
      </c>
      <c r="B8" s="17" t="s">
        <v>116</v>
      </c>
      <c r="D8" s="31"/>
      <c r="E8" s="33">
        <v>4.2999999999999997E-2</v>
      </c>
      <c r="F8" s="17"/>
    </row>
    <row r="10" spans="1:6" x14ac:dyDescent="0.25">
      <c r="A10" s="25" t="s">
        <v>417</v>
      </c>
      <c r="B10" s="42"/>
      <c r="C10" s="42"/>
      <c r="D10" s="30"/>
      <c r="E10" s="30"/>
      <c r="F10" s="42"/>
    </row>
    <row r="11" spans="1:6" hidden="1" x14ac:dyDescent="0.25">
      <c r="A11" s="17" t="s">
        <v>77</v>
      </c>
      <c r="B11" s="17" t="s">
        <v>97</v>
      </c>
      <c r="C11" s="17">
        <v>1</v>
      </c>
      <c r="D11" s="29">
        <v>0</v>
      </c>
    </row>
    <row r="12" spans="1:6" x14ac:dyDescent="0.25">
      <c r="A12" s="17" t="s">
        <v>80</v>
      </c>
      <c r="B12" s="17" t="s">
        <v>110</v>
      </c>
      <c r="C12" s="17">
        <v>1</v>
      </c>
      <c r="D12" s="44">
        <f>(11.9*3+35*1)/4</f>
        <v>17.675000000000001</v>
      </c>
    </row>
    <row r="13" spans="1:6" x14ac:dyDescent="0.25">
      <c r="A13" s="17" t="s">
        <v>189</v>
      </c>
      <c r="B13" s="17" t="s">
        <v>110</v>
      </c>
      <c r="C13" s="17">
        <v>1</v>
      </c>
      <c r="D13" s="44">
        <f>300*eur</f>
        <v>163.48200000000003</v>
      </c>
    </row>
    <row r="14" spans="1:6" x14ac:dyDescent="0.25">
      <c r="A14" s="17" t="s">
        <v>132</v>
      </c>
      <c r="B14" s="17" t="s">
        <v>97</v>
      </c>
      <c r="C14" s="17"/>
      <c r="D14" s="44">
        <v>66.14</v>
      </c>
    </row>
    <row r="15" spans="1:6" hidden="1" x14ac:dyDescent="0.25">
      <c r="A15" s="17" t="s">
        <v>81</v>
      </c>
      <c r="B15" s="17" t="s">
        <v>97</v>
      </c>
      <c r="C15" s="17">
        <v>1</v>
      </c>
      <c r="D15" s="44"/>
    </row>
    <row r="16" spans="1:6" hidden="1" x14ac:dyDescent="0.25">
      <c r="A16" s="17" t="s">
        <v>82</v>
      </c>
      <c r="B16" s="17" t="s">
        <v>97</v>
      </c>
      <c r="C16" s="17">
        <v>1</v>
      </c>
      <c r="D16" s="44">
        <v>0</v>
      </c>
    </row>
    <row r="17" spans="1:6" hidden="1" x14ac:dyDescent="0.25">
      <c r="A17" s="20" t="s">
        <v>83</v>
      </c>
      <c r="B17" s="17" t="s">
        <v>97</v>
      </c>
      <c r="C17" s="17">
        <v>1</v>
      </c>
      <c r="D17" s="44"/>
    </row>
    <row r="18" spans="1:6" hidden="1" x14ac:dyDescent="0.25">
      <c r="A18" s="17" t="s">
        <v>84</v>
      </c>
      <c r="B18" s="17" t="s">
        <v>97</v>
      </c>
      <c r="C18" s="17">
        <v>1</v>
      </c>
    </row>
    <row r="19" spans="1:6" x14ac:dyDescent="0.25">
      <c r="A19" s="17" t="s">
        <v>130</v>
      </c>
      <c r="B19" s="17" t="s">
        <v>116</v>
      </c>
      <c r="E19" s="43">
        <v>0.1</v>
      </c>
    </row>
    <row r="20" spans="1:6" x14ac:dyDescent="0.25">
      <c r="B20" s="17"/>
      <c r="C20" s="17"/>
    </row>
    <row r="21" spans="1:6" x14ac:dyDescent="0.25">
      <c r="A21" s="25" t="s">
        <v>10</v>
      </c>
      <c r="B21" s="42"/>
      <c r="C21" s="42"/>
      <c r="D21" s="30"/>
      <c r="E21" s="30"/>
      <c r="F21" s="42"/>
    </row>
    <row r="22" spans="1:6" x14ac:dyDescent="0.25">
      <c r="A22" s="19" t="s">
        <v>105</v>
      </c>
      <c r="B22" s="17" t="s">
        <v>85</v>
      </c>
      <c r="C22" s="17">
        <v>1</v>
      </c>
      <c r="F22" s="17" t="s">
        <v>114</v>
      </c>
    </row>
    <row r="23" spans="1:6" x14ac:dyDescent="0.25">
      <c r="A23" s="19" t="s">
        <v>79</v>
      </c>
      <c r="B23" s="17" t="s">
        <v>85</v>
      </c>
      <c r="C23" s="17">
        <v>1</v>
      </c>
    </row>
    <row r="24" spans="1:6" x14ac:dyDescent="0.25">
      <c r="B24" s="17"/>
      <c r="C24" s="17"/>
    </row>
    <row r="25" spans="1:6" x14ac:dyDescent="0.25">
      <c r="A25" s="25" t="s">
        <v>12</v>
      </c>
      <c r="B25" s="42"/>
      <c r="C25" s="42"/>
      <c r="D25" s="30"/>
      <c r="E25" s="30"/>
      <c r="F25" s="42"/>
    </row>
    <row r="26" spans="1:6" x14ac:dyDescent="0.25">
      <c r="A26" s="19" t="s">
        <v>190</v>
      </c>
      <c r="B26" s="17" t="s">
        <v>127</v>
      </c>
      <c r="C26" s="17">
        <v>1</v>
      </c>
      <c r="D26" s="44">
        <f>Trips!B29</f>
        <v>712.48985000000005</v>
      </c>
      <c r="E26" s="44"/>
      <c r="F26" s="70"/>
    </row>
    <row r="27" spans="1:6" x14ac:dyDescent="0.25">
      <c r="A27" s="19" t="s">
        <v>86</v>
      </c>
      <c r="B27" s="17" t="s">
        <v>87</v>
      </c>
      <c r="C27" s="17"/>
      <c r="D27" s="44"/>
      <c r="E27" s="178">
        <v>5.0000000000000001E-3</v>
      </c>
      <c r="F27" s="70"/>
    </row>
    <row r="28" spans="1:6" x14ac:dyDescent="0.25">
      <c r="B28" s="17"/>
      <c r="C28" s="17"/>
      <c r="D28" s="44"/>
      <c r="E28" s="44"/>
      <c r="F28" s="70"/>
    </row>
    <row r="29" spans="1:6" x14ac:dyDescent="0.25">
      <c r="A29" s="118" t="s">
        <v>113</v>
      </c>
      <c r="B29" s="42"/>
      <c r="C29" s="42"/>
      <c r="D29" s="30"/>
      <c r="E29" s="30"/>
      <c r="F29" s="42"/>
    </row>
    <row r="30" spans="1:6" x14ac:dyDescent="0.25">
      <c r="A30" s="117" t="s">
        <v>88</v>
      </c>
      <c r="B30" s="17" t="s">
        <v>106</v>
      </c>
      <c r="C30" s="17">
        <v>1800</v>
      </c>
      <c r="D30" s="44">
        <v>6</v>
      </c>
    </row>
    <row r="31" spans="1:6" x14ac:dyDescent="0.25">
      <c r="A31" s="117" t="s">
        <v>352</v>
      </c>
      <c r="B31" s="17"/>
      <c r="C31" s="17"/>
      <c r="D31" s="44" t="s">
        <v>351</v>
      </c>
    </row>
    <row r="32" spans="1:6" x14ac:dyDescent="0.25">
      <c r="A32" s="117" t="s">
        <v>148</v>
      </c>
      <c r="B32" s="17"/>
      <c r="C32" s="17"/>
      <c r="D32" s="44" t="s">
        <v>351</v>
      </c>
    </row>
    <row r="34" spans="1:6" x14ac:dyDescent="0.25">
      <c r="A34" s="25" t="s">
        <v>7</v>
      </c>
      <c r="B34" s="42"/>
      <c r="C34" s="42"/>
      <c r="D34" s="30"/>
      <c r="E34" s="30"/>
      <c r="F34" s="42"/>
    </row>
    <row r="35" spans="1:6" x14ac:dyDescent="0.25">
      <c r="A35" s="19" t="s">
        <v>90</v>
      </c>
      <c r="B35" s="17" t="s">
        <v>107</v>
      </c>
      <c r="C35" s="17"/>
      <c r="D35" s="44"/>
      <c r="E35" s="44">
        <v>15</v>
      </c>
    </row>
    <row r="36" spans="1:6" x14ac:dyDescent="0.25">
      <c r="A36" s="19" t="s">
        <v>92</v>
      </c>
      <c r="B36" s="17" t="s">
        <v>107</v>
      </c>
      <c r="C36" s="17">
        <v>1</v>
      </c>
      <c r="D36" s="44">
        <v>500</v>
      </c>
      <c r="E36" s="44"/>
    </row>
    <row r="37" spans="1:6" ht="9.75" customHeight="1" x14ac:dyDescent="0.25">
      <c r="A37" s="19"/>
      <c r="B37" s="17"/>
      <c r="C37" s="17"/>
      <c r="D37" s="44"/>
      <c r="E37" s="44"/>
    </row>
    <row r="38" spans="1:6" x14ac:dyDescent="0.25">
      <c r="A38" s="19" t="s">
        <v>91</v>
      </c>
      <c r="B38" s="17" t="s">
        <v>85</v>
      </c>
      <c r="C38" s="17">
        <v>1</v>
      </c>
      <c r="D38" s="44">
        <v>300</v>
      </c>
      <c r="E38" s="44"/>
    </row>
    <row r="39" spans="1:6" x14ac:dyDescent="0.25">
      <c r="A39" s="19" t="s">
        <v>93</v>
      </c>
      <c r="B39" s="17" t="s">
        <v>85</v>
      </c>
      <c r="C39" s="17">
        <v>1</v>
      </c>
      <c r="D39" s="44">
        <v>350</v>
      </c>
      <c r="E39" s="44"/>
    </row>
    <row r="40" spans="1:6" x14ac:dyDescent="0.25">
      <c r="A40" s="19" t="s">
        <v>94</v>
      </c>
      <c r="B40" s="17" t="s">
        <v>95</v>
      </c>
      <c r="C40" s="17">
        <v>1</v>
      </c>
      <c r="D40" s="44">
        <v>100</v>
      </c>
      <c r="E40" s="44"/>
    </row>
    <row r="41" spans="1:6" x14ac:dyDescent="0.25">
      <c r="A41" s="19" t="s">
        <v>379</v>
      </c>
      <c r="D41" s="44">
        <v>10500</v>
      </c>
      <c r="E41" s="44"/>
    </row>
    <row r="42" spans="1:6" x14ac:dyDescent="0.25">
      <c r="A42" s="19" t="s">
        <v>378</v>
      </c>
      <c r="D42" s="44">
        <v>21300</v>
      </c>
      <c r="E42" s="44"/>
    </row>
    <row r="43" spans="1:6" x14ac:dyDescent="0.25">
      <c r="A43" s="19" t="s">
        <v>377</v>
      </c>
      <c r="D43" s="44">
        <v>13500</v>
      </c>
      <c r="E43" s="44"/>
    </row>
    <row r="44" spans="1:6" x14ac:dyDescent="0.25">
      <c r="A44" s="19"/>
    </row>
    <row r="46" spans="1:6" x14ac:dyDescent="0.25">
      <c r="A46" s="25" t="s">
        <v>109</v>
      </c>
      <c r="B46" s="25" t="s">
        <v>108</v>
      </c>
      <c r="C46" s="42"/>
      <c r="D46" s="30"/>
      <c r="E46" s="30"/>
      <c r="F46" s="42"/>
    </row>
    <row r="47" spans="1:6" x14ac:dyDescent="0.25">
      <c r="A47" s="26" t="s">
        <v>237</v>
      </c>
      <c r="B47" s="17" t="s">
        <v>97</v>
      </c>
      <c r="C47" s="17">
        <v>1</v>
      </c>
      <c r="D47" s="44">
        <f>850+30+100+50+150+100</f>
        <v>1280</v>
      </c>
    </row>
    <row r="48" spans="1:6" x14ac:dyDescent="0.25">
      <c r="A48" s="26" t="s">
        <v>18</v>
      </c>
      <c r="B48" s="17" t="s">
        <v>97</v>
      </c>
      <c r="C48" s="17">
        <v>1</v>
      </c>
      <c r="D48" s="44">
        <v>300</v>
      </c>
    </row>
    <row r="49" spans="1:6" ht="27" x14ac:dyDescent="0.25">
      <c r="A49" s="26" t="s">
        <v>19</v>
      </c>
      <c r="B49" s="17" t="s">
        <v>97</v>
      </c>
      <c r="C49" s="17">
        <v>1</v>
      </c>
      <c r="D49" s="44">
        <v>250</v>
      </c>
    </row>
    <row r="50" spans="1:6" x14ac:dyDescent="0.25">
      <c r="A50" s="27" t="s">
        <v>22</v>
      </c>
      <c r="B50" s="17" t="s">
        <v>97</v>
      </c>
      <c r="C50" s="17">
        <v>1</v>
      </c>
      <c r="D50" s="44">
        <v>200</v>
      </c>
    </row>
    <row r="51" spans="1:6" x14ac:dyDescent="0.25">
      <c r="A51" s="27" t="s">
        <v>13</v>
      </c>
      <c r="B51" s="17" t="s">
        <v>418</v>
      </c>
      <c r="C51" s="17">
        <v>1</v>
      </c>
      <c r="D51" s="44">
        <v>3000</v>
      </c>
      <c r="F51" s="6" t="s">
        <v>240</v>
      </c>
    </row>
    <row r="52" spans="1:6" x14ac:dyDescent="0.25">
      <c r="D52" s="44"/>
    </row>
    <row r="53" spans="1:6" x14ac:dyDescent="0.25">
      <c r="A53" s="25" t="s">
        <v>111</v>
      </c>
      <c r="B53" s="25"/>
      <c r="C53" s="42"/>
      <c r="D53" s="179"/>
      <c r="E53" s="30"/>
      <c r="F53" s="42"/>
    </row>
    <row r="54" spans="1:6" x14ac:dyDescent="0.25">
      <c r="A54" s="27" t="s">
        <v>96</v>
      </c>
      <c r="B54" s="17" t="s">
        <v>97</v>
      </c>
      <c r="C54" s="17">
        <v>1</v>
      </c>
      <c r="D54" s="44"/>
    </row>
    <row r="55" spans="1:6" x14ac:dyDescent="0.25">
      <c r="A55" s="3" t="s">
        <v>98</v>
      </c>
      <c r="B55" s="17" t="s">
        <v>99</v>
      </c>
      <c r="C55" s="17">
        <v>1</v>
      </c>
      <c r="D55" s="44">
        <v>500</v>
      </c>
    </row>
    <row r="56" spans="1:6" x14ac:dyDescent="0.25">
      <c r="A56" s="3" t="s">
        <v>219</v>
      </c>
      <c r="B56" s="17" t="s">
        <v>174</v>
      </c>
      <c r="C56" s="17">
        <v>1</v>
      </c>
      <c r="D56" s="44">
        <v>500</v>
      </c>
    </row>
    <row r="57" spans="1:6" x14ac:dyDescent="0.25">
      <c r="A57" s="3" t="s">
        <v>219</v>
      </c>
      <c r="B57" s="17" t="s">
        <v>175</v>
      </c>
      <c r="C57" s="17">
        <v>1</v>
      </c>
      <c r="D57" s="44">
        <v>150</v>
      </c>
    </row>
    <row r="58" spans="1:6" x14ac:dyDescent="0.25">
      <c r="A58" s="3" t="s">
        <v>176</v>
      </c>
      <c r="B58" s="17" t="s">
        <v>89</v>
      </c>
      <c r="C58" s="17">
        <v>1</v>
      </c>
      <c r="D58" s="180">
        <v>0.05</v>
      </c>
    </row>
    <row r="59" spans="1:6" x14ac:dyDescent="0.25">
      <c r="A59" s="3" t="s">
        <v>177</v>
      </c>
      <c r="B59" s="17" t="s">
        <v>89</v>
      </c>
      <c r="C59" s="17">
        <v>1</v>
      </c>
      <c r="D59" s="180">
        <v>0.02</v>
      </c>
    </row>
    <row r="60" spans="1:6" x14ac:dyDescent="0.25">
      <c r="A60" s="3" t="s">
        <v>14</v>
      </c>
      <c r="B60" s="17" t="s">
        <v>112</v>
      </c>
      <c r="C60" s="17">
        <v>1</v>
      </c>
      <c r="D60" s="44">
        <v>500</v>
      </c>
    </row>
    <row r="61" spans="1:6" x14ac:dyDescent="0.25">
      <c r="A61" s="3" t="s">
        <v>212</v>
      </c>
      <c r="B61" s="17" t="s">
        <v>210</v>
      </c>
      <c r="C61" s="17">
        <v>1</v>
      </c>
      <c r="D61" s="44">
        <v>10000</v>
      </c>
    </row>
    <row r="62" spans="1:6" x14ac:dyDescent="0.25">
      <c r="A62" s="3" t="s">
        <v>209</v>
      </c>
      <c r="B62" s="17" t="s">
        <v>210</v>
      </c>
      <c r="C62" s="17">
        <v>1</v>
      </c>
      <c r="D62" s="44">
        <v>300</v>
      </c>
    </row>
    <row r="63" spans="1:6" x14ac:dyDescent="0.25">
      <c r="A63" s="3" t="s">
        <v>206</v>
      </c>
      <c r="B63" s="17" t="s">
        <v>201</v>
      </c>
      <c r="C63" s="17">
        <v>1</v>
      </c>
      <c r="D63" s="44">
        <v>150</v>
      </c>
    </row>
    <row r="64" spans="1:6" x14ac:dyDescent="0.25">
      <c r="A64" s="3" t="s">
        <v>207</v>
      </c>
      <c r="B64" s="17" t="s">
        <v>201</v>
      </c>
      <c r="C64" s="17">
        <v>1</v>
      </c>
      <c r="D64" s="44">
        <v>20</v>
      </c>
    </row>
    <row r="65" spans="1:4" x14ac:dyDescent="0.25">
      <c r="A65" s="3" t="s">
        <v>15</v>
      </c>
      <c r="B65" s="17" t="s">
        <v>187</v>
      </c>
      <c r="C65" s="17">
        <v>1</v>
      </c>
      <c r="D65" s="44">
        <f>50*usd</f>
        <v>24.1465</v>
      </c>
    </row>
    <row r="66" spans="1:4" x14ac:dyDescent="0.25">
      <c r="A66" s="3" t="s">
        <v>204</v>
      </c>
      <c r="B66" s="17" t="s">
        <v>205</v>
      </c>
      <c r="C66" s="17">
        <v>1</v>
      </c>
      <c r="D66" s="44">
        <v>300</v>
      </c>
    </row>
    <row r="68" spans="1:4" x14ac:dyDescent="0.25">
      <c r="A68" s="3" t="s">
        <v>21</v>
      </c>
    </row>
    <row r="69" spans="1:4" ht="27" x14ac:dyDescent="0.25">
      <c r="A69" s="67" t="s">
        <v>350</v>
      </c>
      <c r="B69" s="6" t="s">
        <v>171</v>
      </c>
      <c r="C69" s="6">
        <v>1</v>
      </c>
      <c r="D69" s="44">
        <v>5000</v>
      </c>
    </row>
    <row r="70" spans="1:4" ht="27" x14ac:dyDescent="0.25">
      <c r="A70" s="67" t="s">
        <v>168</v>
      </c>
      <c r="B70" s="6" t="s">
        <v>171</v>
      </c>
      <c r="C70" s="6">
        <v>1</v>
      </c>
      <c r="D70" s="44">
        <v>1500</v>
      </c>
    </row>
    <row r="71" spans="1:4" ht="27" x14ac:dyDescent="0.25">
      <c r="A71" s="67" t="s">
        <v>182</v>
      </c>
      <c r="B71" s="6" t="s">
        <v>171</v>
      </c>
      <c r="C71" s="6">
        <v>1</v>
      </c>
      <c r="D71" s="44">
        <v>200</v>
      </c>
    </row>
    <row r="72" spans="1:4" ht="27" x14ac:dyDescent="0.25">
      <c r="A72" s="67" t="s">
        <v>349</v>
      </c>
      <c r="B72" s="6" t="s">
        <v>171</v>
      </c>
      <c r="C72" s="6">
        <v>1</v>
      </c>
      <c r="D72" s="44">
        <v>50</v>
      </c>
    </row>
    <row r="74" spans="1:4" x14ac:dyDescent="0.25">
      <c r="A74" s="66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17"/>
  <sheetViews>
    <sheetView topLeftCell="A10" zoomScaleNormal="100" workbookViewId="0">
      <selection activeCell="B57" sqref="B57"/>
    </sheetView>
  </sheetViews>
  <sheetFormatPr defaultRowHeight="13.5" x14ac:dyDescent="0.25"/>
  <cols>
    <col min="1" max="1" width="13" style="85" customWidth="1"/>
    <col min="2" max="2" width="48.140625" style="80" customWidth="1"/>
    <col min="3" max="3" width="19.140625" style="8" customWidth="1"/>
    <col min="4" max="4" width="9.140625" style="6"/>
    <col min="5" max="5" width="19.140625" style="8" customWidth="1"/>
    <col min="6" max="6" width="9.140625" style="6"/>
    <col min="7" max="7" width="11.28515625" style="6" bestFit="1" customWidth="1"/>
    <col min="8" max="16384" width="9.140625" style="6"/>
  </cols>
  <sheetData>
    <row r="1" spans="1:9" ht="16.5" customHeight="1" x14ac:dyDescent="0.25">
      <c r="A1" s="89" t="s">
        <v>262</v>
      </c>
      <c r="B1" s="87"/>
      <c r="C1" s="11"/>
      <c r="D1" s="88"/>
      <c r="E1" s="11"/>
      <c r="I1" s="6" t="s">
        <v>252</v>
      </c>
    </row>
    <row r="2" spans="1:9" x14ac:dyDescent="0.25">
      <c r="I2" s="6" t="s">
        <v>253</v>
      </c>
    </row>
    <row r="3" spans="1:9" s="85" customFormat="1" ht="27" x14ac:dyDescent="0.25">
      <c r="A3" s="82" t="s">
        <v>247</v>
      </c>
      <c r="B3" s="82" t="s">
        <v>248</v>
      </c>
      <c r="C3" s="83" t="s">
        <v>249</v>
      </c>
      <c r="D3" s="84" t="s">
        <v>250</v>
      </c>
      <c r="E3" s="83" t="s">
        <v>251</v>
      </c>
    </row>
    <row r="4" spans="1:9" ht="40.5" x14ac:dyDescent="0.25">
      <c r="A4" s="85">
        <v>26</v>
      </c>
      <c r="B4" s="80" t="s">
        <v>366</v>
      </c>
      <c r="C4" s="8">
        <v>150000</v>
      </c>
      <c r="D4" s="6" t="s">
        <v>252</v>
      </c>
      <c r="E4" s="8">
        <f t="shared" ref="E4:E10" si="0">IF(D4=$I$1,C4*usd,C4*eur)</f>
        <v>72439.5</v>
      </c>
    </row>
    <row r="5" spans="1:9" ht="40.5" x14ac:dyDescent="0.25">
      <c r="A5" s="85">
        <v>27</v>
      </c>
      <c r="B5" s="80" t="s">
        <v>367</v>
      </c>
      <c r="C5" s="8">
        <v>40000</v>
      </c>
      <c r="D5" s="6" t="s">
        <v>252</v>
      </c>
      <c r="E5" s="8">
        <f t="shared" si="0"/>
        <v>19317.2</v>
      </c>
    </row>
    <row r="6" spans="1:9" ht="81" x14ac:dyDescent="0.25">
      <c r="A6" s="85">
        <v>28</v>
      </c>
      <c r="B6" s="80" t="s">
        <v>368</v>
      </c>
      <c r="C6" s="8">
        <v>140000</v>
      </c>
      <c r="D6" s="6" t="s">
        <v>252</v>
      </c>
      <c r="E6" s="8">
        <f t="shared" si="0"/>
        <v>67610.2</v>
      </c>
    </row>
    <row r="7" spans="1:9" ht="54" x14ac:dyDescent="0.25">
      <c r="A7" s="85">
        <v>30</v>
      </c>
      <c r="B7" s="80" t="s">
        <v>369</v>
      </c>
      <c r="C7" s="8">
        <v>3000000</v>
      </c>
      <c r="D7" s="6" t="s">
        <v>252</v>
      </c>
      <c r="E7" s="8">
        <f t="shared" si="0"/>
        <v>1448790</v>
      </c>
    </row>
    <row r="8" spans="1:9" ht="54" x14ac:dyDescent="0.25">
      <c r="A8" s="85">
        <v>31</v>
      </c>
      <c r="B8" s="80" t="s">
        <v>370</v>
      </c>
      <c r="C8" s="8">
        <v>200000</v>
      </c>
      <c r="D8" s="6" t="s">
        <v>253</v>
      </c>
      <c r="E8" s="8">
        <f t="shared" si="0"/>
        <v>108988.00000000001</v>
      </c>
    </row>
    <row r="9" spans="1:9" ht="40.5" x14ac:dyDescent="0.25">
      <c r="A9" s="85">
        <v>37</v>
      </c>
      <c r="B9" s="80" t="s">
        <v>371</v>
      </c>
      <c r="C9" s="8">
        <v>3500000</v>
      </c>
      <c r="D9" s="6" t="s">
        <v>253</v>
      </c>
      <c r="E9" s="8">
        <f t="shared" si="0"/>
        <v>1907290.0000000002</v>
      </c>
      <c r="G9" s="81"/>
    </row>
    <row r="10" spans="1:9" ht="27" x14ac:dyDescent="0.25">
      <c r="A10" s="85">
        <v>38</v>
      </c>
      <c r="B10" s="80" t="s">
        <v>259</v>
      </c>
      <c r="C10" s="8">
        <v>200000</v>
      </c>
      <c r="D10" s="6" t="s">
        <v>252</v>
      </c>
      <c r="E10" s="8">
        <f t="shared" si="0"/>
        <v>96586</v>
      </c>
      <c r="G10" s="81"/>
    </row>
    <row r="11" spans="1:9" ht="27" x14ac:dyDescent="0.25">
      <c r="A11" s="85">
        <v>18</v>
      </c>
      <c r="B11" s="114" t="s">
        <v>353</v>
      </c>
      <c r="C11" s="44">
        <f>400000-20000</f>
        <v>380000</v>
      </c>
      <c r="D11" s="70" t="s">
        <v>252</v>
      </c>
      <c r="E11" s="44">
        <f t="shared" ref="E11:E12" si="1">IF(D11=$I$1,C11*usd,C11*eur)</f>
        <v>183513.40000000002</v>
      </c>
    </row>
    <row r="12" spans="1:9" x14ac:dyDescent="0.25">
      <c r="A12" s="115" t="s">
        <v>334</v>
      </c>
      <c r="B12" s="80" t="s">
        <v>335</v>
      </c>
      <c r="C12" s="44">
        <v>40000</v>
      </c>
      <c r="D12" s="70" t="s">
        <v>252</v>
      </c>
      <c r="E12" s="44">
        <f t="shared" si="1"/>
        <v>19317.2</v>
      </c>
    </row>
    <row r="13" spans="1:9" ht="27" x14ac:dyDescent="0.25">
      <c r="A13" s="85">
        <v>24</v>
      </c>
      <c r="B13" s="80" t="s">
        <v>372</v>
      </c>
      <c r="C13" s="44">
        <v>30000</v>
      </c>
      <c r="D13" s="70" t="s">
        <v>252</v>
      </c>
      <c r="E13" s="44">
        <f t="shared" ref="E13" si="2">IF(D13=$I$1,C13*usd,C13*eur)</f>
        <v>14487.900000000001</v>
      </c>
    </row>
    <row r="15" spans="1:9" x14ac:dyDescent="0.25">
      <c r="A15" s="112" t="s">
        <v>246</v>
      </c>
    </row>
    <row r="16" spans="1:9" x14ac:dyDescent="0.25">
      <c r="A16" s="113" t="s">
        <v>260</v>
      </c>
    </row>
    <row r="17" spans="1:1" x14ac:dyDescent="0.25">
      <c r="A17" s="113" t="s">
        <v>416</v>
      </c>
    </row>
  </sheetData>
  <pageMargins left="0.7" right="0.7" top="0.75" bottom="0.75" header="0.3" footer="0.3"/>
  <pageSetup paperSize="9" scale="80" fitToHeight="0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G29"/>
  <sheetViews>
    <sheetView workbookViewId="0">
      <selection activeCell="B57" sqref="B57"/>
    </sheetView>
  </sheetViews>
  <sheetFormatPr defaultRowHeight="13.5" x14ac:dyDescent="0.25"/>
  <cols>
    <col min="1" max="1" width="37" style="6" customWidth="1"/>
    <col min="2" max="2" width="30" style="6" customWidth="1"/>
    <col min="3" max="3" width="17" style="6" customWidth="1"/>
    <col min="4" max="4" width="19.28515625" style="6" customWidth="1"/>
    <col min="5" max="5" width="14.140625" style="6" customWidth="1"/>
    <col min="6" max="6" width="16.140625" style="6" customWidth="1"/>
    <col min="7" max="16384" width="9.140625" style="6"/>
  </cols>
  <sheetData>
    <row r="1" spans="1:7" x14ac:dyDescent="0.25">
      <c r="A1" s="174" t="s">
        <v>33</v>
      </c>
      <c r="B1" s="174"/>
      <c r="C1" s="174"/>
      <c r="D1" s="174"/>
      <c r="E1" s="174"/>
      <c r="F1" s="174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73" t="s">
        <v>408</v>
      </c>
      <c r="B3" s="18"/>
      <c r="C3" s="18"/>
      <c r="D3" s="18"/>
      <c r="E3" s="18"/>
      <c r="F3" s="18"/>
    </row>
    <row r="4" spans="1:7" x14ac:dyDescent="0.25">
      <c r="B4" s="18" t="s">
        <v>119</v>
      </c>
      <c r="C4" s="18" t="s">
        <v>35</v>
      </c>
      <c r="D4" s="18" t="s">
        <v>36</v>
      </c>
      <c r="E4" s="18" t="s">
        <v>120</v>
      </c>
      <c r="F4" s="18"/>
    </row>
    <row r="5" spans="1:7" x14ac:dyDescent="0.25">
      <c r="A5" s="18"/>
      <c r="B5" s="176">
        <f>2*C5+3*D5+2*E5</f>
        <v>52</v>
      </c>
      <c r="C5" s="32">
        <v>20</v>
      </c>
      <c r="D5" s="32">
        <v>3</v>
      </c>
      <c r="E5" s="172">
        <v>1.5</v>
      </c>
      <c r="F5" s="32"/>
    </row>
    <row r="6" spans="1:7" x14ac:dyDescent="0.25">
      <c r="A6" s="18"/>
      <c r="B6" s="32"/>
      <c r="C6" s="32"/>
      <c r="D6" s="32"/>
      <c r="E6" s="32"/>
      <c r="F6" s="32"/>
    </row>
    <row r="7" spans="1:7" x14ac:dyDescent="0.25">
      <c r="A7" s="173" t="s">
        <v>409</v>
      </c>
      <c r="B7" s="32"/>
      <c r="C7" s="32"/>
      <c r="D7" s="32"/>
      <c r="E7" s="32"/>
      <c r="F7" s="32"/>
    </row>
    <row r="8" spans="1:7" x14ac:dyDescent="0.25">
      <c r="A8" s="18"/>
      <c r="B8" s="32"/>
      <c r="C8" s="32" t="s">
        <v>161</v>
      </c>
      <c r="D8" s="32"/>
      <c r="E8" s="32"/>
      <c r="F8" s="32"/>
    </row>
    <row r="9" spans="1:7" x14ac:dyDescent="0.25">
      <c r="A9" s="18"/>
      <c r="B9" s="32" t="s">
        <v>117</v>
      </c>
      <c r="C9" s="32" t="s">
        <v>35</v>
      </c>
      <c r="D9" s="32" t="s">
        <v>36</v>
      </c>
      <c r="E9" s="32" t="s">
        <v>414</v>
      </c>
      <c r="F9" s="32" t="s">
        <v>118</v>
      </c>
    </row>
    <row r="10" spans="1:7" x14ac:dyDescent="0.25">
      <c r="B10" s="176">
        <f>AVERAGE(B12:B17)</f>
        <v>911.66111833333343</v>
      </c>
      <c r="C10" s="32"/>
      <c r="D10" s="32"/>
      <c r="E10" s="32"/>
      <c r="F10" s="32"/>
    </row>
    <row r="11" spans="1:7" x14ac:dyDescent="0.25">
      <c r="A11" s="17"/>
      <c r="B11" s="8"/>
      <c r="C11" s="8"/>
      <c r="D11" s="8"/>
      <c r="E11" s="8"/>
      <c r="F11" s="8"/>
    </row>
    <row r="12" spans="1:7" x14ac:dyDescent="0.25">
      <c r="A12" s="17" t="s">
        <v>142</v>
      </c>
      <c r="B12" s="8">
        <f>4*C12+5*D12+E12+F12</f>
        <v>735.84462000000008</v>
      </c>
      <c r="C12" s="8">
        <f>112*eur</f>
        <v>61.033280000000012</v>
      </c>
      <c r="D12" s="8">
        <f>104*eur</f>
        <v>56.673760000000009</v>
      </c>
      <c r="E12" s="8">
        <f>390*usd</f>
        <v>188.34270000000001</v>
      </c>
      <c r="F12" s="8">
        <v>20</v>
      </c>
      <c r="G12" s="40"/>
    </row>
    <row r="13" spans="1:7" x14ac:dyDescent="0.25">
      <c r="A13" s="17" t="s">
        <v>407</v>
      </c>
      <c r="B13" s="8">
        <f>4*C13+5*D13+E13+F13</f>
        <v>1575.0346</v>
      </c>
      <c r="C13" s="44">
        <f>295*usd</f>
        <v>142.46435</v>
      </c>
      <c r="D13" s="44">
        <f>188*usd</f>
        <v>90.790840000000003</v>
      </c>
      <c r="E13" s="44">
        <f>1100*usd</f>
        <v>531.22300000000007</v>
      </c>
      <c r="F13" s="8">
        <v>20</v>
      </c>
      <c r="G13" s="40"/>
    </row>
    <row r="14" spans="1:7" x14ac:dyDescent="0.25">
      <c r="A14" s="17" t="s">
        <v>34</v>
      </c>
      <c r="B14" s="8">
        <f>4*C14+5*D14+E14+F14</f>
        <v>727.85860000000002</v>
      </c>
      <c r="C14" s="8">
        <f>70*eur</f>
        <v>38.145800000000008</v>
      </c>
      <c r="D14" s="8">
        <f>62*eur</f>
        <v>33.786280000000005</v>
      </c>
      <c r="E14" s="8">
        <f>800*usd</f>
        <v>386.34399999999999</v>
      </c>
      <c r="F14" s="8">
        <v>20</v>
      </c>
    </row>
    <row r="15" spans="1:7" x14ac:dyDescent="0.25">
      <c r="A15" s="17" t="s">
        <v>410</v>
      </c>
      <c r="B15" s="8">
        <f>4*C15+5*D15+E15+F15</f>
        <v>947.75112000000013</v>
      </c>
      <c r="C15" s="8">
        <f>167*eur</f>
        <v>91.004980000000018</v>
      </c>
      <c r="D15" s="8">
        <f>136*eur</f>
        <v>74.111840000000015</v>
      </c>
      <c r="E15" s="44">
        <f>400*usd</f>
        <v>193.172</v>
      </c>
      <c r="F15" s="8">
        <v>20</v>
      </c>
    </row>
    <row r="16" spans="1:7" x14ac:dyDescent="0.25">
      <c r="A16" s="17" t="s">
        <v>411</v>
      </c>
      <c r="B16" s="8">
        <f t="shared" ref="B16" si="0">4*C16+5*D16+E16+F16</f>
        <v>671.47257000000013</v>
      </c>
      <c r="C16" s="8">
        <f>76*usd</f>
        <v>36.702680000000001</v>
      </c>
      <c r="D16" s="8">
        <f>59*usd</f>
        <v>28.49287</v>
      </c>
      <c r="E16" s="8">
        <f>750*usd</f>
        <v>362.19750000000005</v>
      </c>
      <c r="F16" s="8">
        <v>20</v>
      </c>
    </row>
    <row r="17" spans="1:6" x14ac:dyDescent="0.25">
      <c r="A17" s="17" t="s">
        <v>412</v>
      </c>
      <c r="B17" s="8">
        <f>4*C17+5*D17+E17+F17</f>
        <v>812.00520000000006</v>
      </c>
      <c r="C17" s="8">
        <f>165*usd</f>
        <v>79.683450000000008</v>
      </c>
      <c r="D17" s="8">
        <f>110*usd</f>
        <v>53.122300000000003</v>
      </c>
      <c r="E17" s="8">
        <f>430*usd</f>
        <v>207.65990000000002</v>
      </c>
      <c r="F17" s="8">
        <v>20</v>
      </c>
    </row>
    <row r="19" spans="1:6" x14ac:dyDescent="0.25">
      <c r="A19" s="58" t="s">
        <v>413</v>
      </c>
    </row>
    <row r="20" spans="1:6" x14ac:dyDescent="0.25">
      <c r="A20" s="70" t="s">
        <v>415</v>
      </c>
    </row>
    <row r="22" spans="1:6" ht="27" x14ac:dyDescent="0.25">
      <c r="A22" s="175" t="s">
        <v>72</v>
      </c>
      <c r="B22" s="32" t="s">
        <v>117</v>
      </c>
      <c r="C22" s="6" t="s">
        <v>125</v>
      </c>
    </row>
    <row r="23" spans="1:6" x14ac:dyDescent="0.25">
      <c r="A23" s="17" t="s">
        <v>131</v>
      </c>
      <c r="B23" s="8">
        <v>5</v>
      </c>
    </row>
    <row r="24" spans="1:6" x14ac:dyDescent="0.25">
      <c r="A24" s="17" t="s">
        <v>35</v>
      </c>
      <c r="B24" s="8">
        <v>250</v>
      </c>
      <c r="C24" s="8"/>
      <c r="D24" s="8"/>
    </row>
    <row r="25" spans="1:6" x14ac:dyDescent="0.25">
      <c r="A25" s="17" t="s">
        <v>122</v>
      </c>
      <c r="B25" s="8">
        <f>5*C25</f>
        <v>100</v>
      </c>
      <c r="C25" s="8">
        <f>5+10+5</f>
        <v>20</v>
      </c>
      <c r="D25" s="8"/>
    </row>
    <row r="26" spans="1:6" x14ac:dyDescent="0.25">
      <c r="A26" s="17" t="s">
        <v>126</v>
      </c>
      <c r="B26" s="8">
        <f>2*C26</f>
        <v>16</v>
      </c>
      <c r="C26" s="8">
        <v>8</v>
      </c>
      <c r="D26" s="8"/>
    </row>
    <row r="27" spans="1:6" x14ac:dyDescent="0.25">
      <c r="A27" s="17" t="s">
        <v>123</v>
      </c>
      <c r="B27" s="8">
        <f>5*C27</f>
        <v>35</v>
      </c>
      <c r="C27" s="8">
        <v>7</v>
      </c>
      <c r="D27" s="8"/>
    </row>
    <row r="28" spans="1:6" x14ac:dyDescent="0.25">
      <c r="A28" s="17" t="s">
        <v>124</v>
      </c>
      <c r="B28" s="8">
        <f>C28</f>
        <v>311.48985000000005</v>
      </c>
      <c r="C28" s="44">
        <f>AVERAGE(E11:E18)</f>
        <v>311.48985000000005</v>
      </c>
      <c r="D28" s="8"/>
    </row>
    <row r="29" spans="1:6" x14ac:dyDescent="0.25">
      <c r="A29" s="18" t="s">
        <v>28</v>
      </c>
      <c r="B29" s="177">
        <f>SUM(B24:B28)</f>
        <v>712.48985000000005</v>
      </c>
    </row>
  </sheetData>
  <pageMargins left="0.7" right="0.7" top="0.75" bottom="0.75" header="0.3" footer="0.3"/>
  <pageSetup paperSize="9" scale="99" orientation="landscape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J52"/>
  <sheetViews>
    <sheetView topLeftCell="A22" workbookViewId="0">
      <selection activeCell="B57" sqref="B57"/>
    </sheetView>
  </sheetViews>
  <sheetFormatPr defaultRowHeight="13.5" x14ac:dyDescent="0.25"/>
  <cols>
    <col min="1" max="1" width="57.42578125" style="6" customWidth="1"/>
    <col min="2" max="2" width="9.140625" style="6"/>
    <col min="3" max="3" width="10" style="6" bestFit="1" customWidth="1"/>
    <col min="4" max="4" width="30.5703125" style="6" customWidth="1"/>
    <col min="5" max="16384" width="9.140625" style="6"/>
  </cols>
  <sheetData>
    <row r="1" spans="1:10" x14ac:dyDescent="0.25">
      <c r="A1" s="143" t="s">
        <v>373</v>
      </c>
      <c r="B1" s="88"/>
      <c r="C1" s="88"/>
      <c r="D1" s="88"/>
    </row>
    <row r="3" spans="1:10" s="144" customFormat="1" ht="27" x14ac:dyDescent="0.25">
      <c r="A3" s="145" t="s">
        <v>67</v>
      </c>
      <c r="B3" s="145" t="s">
        <v>374</v>
      </c>
      <c r="C3" s="145" t="s">
        <v>375</v>
      </c>
      <c r="D3" s="145" t="s">
        <v>376</v>
      </c>
    </row>
    <row r="4" spans="1:10" x14ac:dyDescent="0.25">
      <c r="A4" s="146" t="s">
        <v>271</v>
      </c>
      <c r="B4" s="147"/>
      <c r="C4" s="147"/>
      <c r="D4" s="147"/>
    </row>
    <row r="5" spans="1:10" s="12" customFormat="1" x14ac:dyDescent="0.25">
      <c r="A5" s="148" t="s">
        <v>133</v>
      </c>
      <c r="B5" s="149"/>
      <c r="C5" s="149"/>
      <c r="D5" s="149"/>
    </row>
    <row r="6" spans="1:10" x14ac:dyDescent="0.25">
      <c r="A6" s="150" t="s">
        <v>340</v>
      </c>
      <c r="B6" s="151"/>
      <c r="C6" s="159">
        <v>5</v>
      </c>
      <c r="D6" s="151" t="s">
        <v>342</v>
      </c>
    </row>
    <row r="7" spans="1:10" x14ac:dyDescent="0.25">
      <c r="A7" s="150" t="s">
        <v>341</v>
      </c>
      <c r="B7" s="151"/>
      <c r="C7" s="160">
        <v>2</v>
      </c>
      <c r="D7" s="151" t="s">
        <v>343</v>
      </c>
    </row>
    <row r="8" spans="1:10" x14ac:dyDescent="0.25">
      <c r="A8" s="150" t="s">
        <v>134</v>
      </c>
      <c r="B8" s="151" t="s">
        <v>135</v>
      </c>
      <c r="C8" s="152">
        <f>'Rates and GI'!D12/6*C6</f>
        <v>14.729166666666666</v>
      </c>
      <c r="D8" s="153"/>
      <c r="E8" s="8"/>
      <c r="F8" s="8"/>
      <c r="G8" s="8"/>
      <c r="H8" s="8"/>
      <c r="I8" s="8"/>
      <c r="J8" s="8"/>
    </row>
    <row r="9" spans="1:10" x14ac:dyDescent="0.25">
      <c r="A9" s="150" t="s">
        <v>136</v>
      </c>
      <c r="B9" s="151" t="s">
        <v>135</v>
      </c>
      <c r="C9" s="152">
        <f>'Rates and GI'!D13/6*C6</f>
        <v>136.23500000000001</v>
      </c>
      <c r="D9" s="153"/>
      <c r="E9" s="8"/>
      <c r="F9" s="8"/>
      <c r="G9" s="8"/>
      <c r="H9" s="8"/>
      <c r="I9" s="8"/>
      <c r="J9" s="8"/>
    </row>
    <row r="10" spans="1:10" x14ac:dyDescent="0.25">
      <c r="A10" s="151" t="s">
        <v>137</v>
      </c>
      <c r="B10" s="151"/>
      <c r="C10" s="152">
        <v>0</v>
      </c>
      <c r="D10" s="153"/>
      <c r="E10" s="8"/>
      <c r="F10" s="8"/>
      <c r="G10" s="8"/>
      <c r="H10" s="8"/>
      <c r="I10" s="8"/>
      <c r="J10" s="8"/>
    </row>
    <row r="11" spans="1:10" x14ac:dyDescent="0.25">
      <c r="A11" s="151" t="s">
        <v>140</v>
      </c>
      <c r="B11" s="151"/>
      <c r="C11" s="154">
        <v>0</v>
      </c>
      <c r="D11" s="153"/>
      <c r="E11" s="8"/>
      <c r="F11" s="8"/>
      <c r="G11" s="8"/>
      <c r="H11" s="8"/>
      <c r="I11" s="8"/>
      <c r="J11" s="8"/>
    </row>
    <row r="12" spans="1:10" x14ac:dyDescent="0.25">
      <c r="A12" s="151" t="s">
        <v>138</v>
      </c>
      <c r="B12" s="151"/>
      <c r="C12" s="154">
        <f>25*50*0.02</f>
        <v>25</v>
      </c>
      <c r="D12" s="153"/>
      <c r="E12" s="8"/>
      <c r="F12" s="8"/>
      <c r="G12" s="8"/>
      <c r="H12" s="8"/>
      <c r="I12" s="8"/>
      <c r="J12" s="8"/>
    </row>
    <row r="13" spans="1:10" x14ac:dyDescent="0.25">
      <c r="A13" s="151" t="s">
        <v>139</v>
      </c>
      <c r="B13" s="151"/>
      <c r="C13" s="154">
        <v>20</v>
      </c>
      <c r="D13" s="153"/>
      <c r="E13" s="8"/>
      <c r="F13" s="8"/>
      <c r="G13" s="8"/>
      <c r="H13" s="8"/>
      <c r="I13" s="8"/>
      <c r="J13" s="8"/>
    </row>
    <row r="14" spans="1:10" x14ac:dyDescent="0.25">
      <c r="A14" s="151" t="s">
        <v>270</v>
      </c>
      <c r="B14" s="151"/>
      <c r="C14" s="154">
        <f>2*25</f>
        <v>50</v>
      </c>
      <c r="D14" s="153"/>
      <c r="E14" s="8"/>
      <c r="F14" s="8"/>
      <c r="G14" s="8"/>
      <c r="H14" s="8"/>
      <c r="I14" s="8"/>
      <c r="J14" s="8"/>
    </row>
    <row r="15" spans="1:10" x14ac:dyDescent="0.25">
      <c r="A15" s="151" t="s">
        <v>141</v>
      </c>
      <c r="B15" s="151" t="s">
        <v>110</v>
      </c>
      <c r="C15" s="154">
        <f>(1+0.5)*25</f>
        <v>37.5</v>
      </c>
      <c r="D15" s="153"/>
      <c r="E15" s="8"/>
      <c r="F15" s="8"/>
      <c r="G15" s="8"/>
      <c r="H15" s="8"/>
      <c r="I15" s="8"/>
      <c r="J15" s="8"/>
    </row>
    <row r="16" spans="1:10" x14ac:dyDescent="0.25">
      <c r="A16" s="151"/>
      <c r="B16" s="151"/>
      <c r="C16" s="154"/>
      <c r="D16" s="153"/>
      <c r="E16" s="8"/>
      <c r="F16" s="8"/>
      <c r="G16" s="8"/>
      <c r="H16" s="8"/>
      <c r="I16" s="8"/>
      <c r="J16" s="8"/>
    </row>
    <row r="17" spans="1:10" x14ac:dyDescent="0.25">
      <c r="A17" s="151" t="s">
        <v>143</v>
      </c>
      <c r="B17" s="151"/>
      <c r="C17" s="154"/>
      <c r="D17" s="153"/>
      <c r="E17" s="8"/>
      <c r="F17" s="8"/>
      <c r="G17" s="8"/>
      <c r="H17" s="8"/>
      <c r="I17" s="8"/>
      <c r="J17" s="8"/>
    </row>
    <row r="18" spans="1:10" x14ac:dyDescent="0.25">
      <c r="A18" s="151" t="s">
        <v>144</v>
      </c>
      <c r="B18" s="151"/>
      <c r="C18" s="154">
        <f>C19*C20</f>
        <v>30</v>
      </c>
      <c r="D18" s="153"/>
      <c r="E18" s="8"/>
      <c r="F18" s="8"/>
      <c r="G18" s="8"/>
      <c r="H18" s="8"/>
      <c r="I18" s="8"/>
      <c r="J18" s="8"/>
    </row>
    <row r="19" spans="1:10" x14ac:dyDescent="0.25">
      <c r="A19" s="151" t="s">
        <v>146</v>
      </c>
      <c r="B19" s="151"/>
      <c r="C19" s="154">
        <v>5</v>
      </c>
      <c r="D19" s="153"/>
      <c r="E19" s="8"/>
      <c r="F19" s="8"/>
      <c r="G19" s="8"/>
      <c r="H19" s="8"/>
      <c r="I19" s="8"/>
      <c r="J19" s="8"/>
    </row>
    <row r="20" spans="1:10" x14ac:dyDescent="0.25">
      <c r="A20" s="151" t="s">
        <v>145</v>
      </c>
      <c r="B20" s="151"/>
      <c r="C20" s="154">
        <v>6</v>
      </c>
      <c r="D20" s="153"/>
      <c r="E20" s="8"/>
      <c r="F20" s="8"/>
      <c r="G20" s="8"/>
      <c r="H20" s="8"/>
      <c r="I20" s="8"/>
      <c r="J20" s="8"/>
    </row>
    <row r="21" spans="1:10" x14ac:dyDescent="0.25">
      <c r="A21" s="148"/>
      <c r="B21" s="148"/>
      <c r="C21" s="153"/>
      <c r="D21" s="153"/>
      <c r="E21" s="8"/>
      <c r="F21" s="8"/>
      <c r="G21" s="8"/>
      <c r="H21" s="8"/>
      <c r="I21" s="8"/>
      <c r="J21" s="8"/>
    </row>
    <row r="22" spans="1:10" x14ac:dyDescent="0.25">
      <c r="A22" s="146" t="s">
        <v>267</v>
      </c>
      <c r="B22" s="147"/>
      <c r="C22" s="147">
        <f>SUM(C23:C29)</f>
        <v>709.375</v>
      </c>
      <c r="D22" s="147"/>
    </row>
    <row r="23" spans="1:10" x14ac:dyDescent="0.25">
      <c r="A23" s="148" t="s">
        <v>147</v>
      </c>
      <c r="B23" s="148"/>
      <c r="C23" s="161">
        <f>C18*C8</f>
        <v>441.875</v>
      </c>
      <c r="D23" s="153"/>
      <c r="E23" s="8"/>
      <c r="F23" s="8"/>
      <c r="G23" s="8"/>
      <c r="H23" s="8"/>
      <c r="I23" s="8"/>
      <c r="J23" s="8"/>
    </row>
    <row r="24" spans="1:10" x14ac:dyDescent="0.25">
      <c r="A24" s="148" t="s">
        <v>137</v>
      </c>
      <c r="B24" s="148"/>
      <c r="C24" s="153">
        <v>0</v>
      </c>
      <c r="D24" s="153"/>
      <c r="E24" s="8"/>
      <c r="F24" s="8"/>
      <c r="G24" s="8"/>
      <c r="H24" s="8"/>
      <c r="I24" s="8"/>
      <c r="J24" s="8"/>
    </row>
    <row r="25" spans="1:10" x14ac:dyDescent="0.25">
      <c r="A25" s="148" t="s">
        <v>140</v>
      </c>
      <c r="B25" s="148"/>
      <c r="C25" s="153">
        <v>0</v>
      </c>
      <c r="D25" s="153"/>
      <c r="E25" s="8"/>
      <c r="F25" s="8"/>
      <c r="G25" s="8"/>
      <c r="H25" s="8"/>
      <c r="I25" s="8"/>
      <c r="J25" s="8"/>
    </row>
    <row r="26" spans="1:10" x14ac:dyDescent="0.25">
      <c r="A26" s="148" t="s">
        <v>138</v>
      </c>
      <c r="B26" s="148"/>
      <c r="C26" s="153">
        <f>25*50*0.02</f>
        <v>25</v>
      </c>
      <c r="D26" s="148"/>
    </row>
    <row r="27" spans="1:10" x14ac:dyDescent="0.25">
      <c r="A27" s="148" t="s">
        <v>270</v>
      </c>
      <c r="B27" s="148"/>
      <c r="C27" s="153">
        <f>C14</f>
        <v>50</v>
      </c>
      <c r="D27" s="148"/>
    </row>
    <row r="28" spans="1:10" x14ac:dyDescent="0.25">
      <c r="A28" s="148" t="s">
        <v>139</v>
      </c>
      <c r="B28" s="148"/>
      <c r="C28" s="153">
        <v>5</v>
      </c>
      <c r="D28" s="148"/>
    </row>
    <row r="29" spans="1:10" x14ac:dyDescent="0.25">
      <c r="A29" s="148" t="s">
        <v>141</v>
      </c>
      <c r="B29" s="148"/>
      <c r="C29" s="153">
        <f>C15*C19</f>
        <v>187.5</v>
      </c>
      <c r="D29" s="148"/>
    </row>
    <row r="30" spans="1:10" x14ac:dyDescent="0.25">
      <c r="A30" s="148"/>
      <c r="B30" s="148"/>
      <c r="C30" s="148"/>
      <c r="D30" s="148"/>
    </row>
    <row r="31" spans="1:10" x14ac:dyDescent="0.25">
      <c r="A31" s="146" t="s">
        <v>154</v>
      </c>
      <c r="B31" s="147" t="s">
        <v>155</v>
      </c>
      <c r="C31" s="147">
        <f>150*eur</f>
        <v>81.741000000000014</v>
      </c>
      <c r="D31" s="147"/>
    </row>
    <row r="32" spans="1:10" x14ac:dyDescent="0.25">
      <c r="A32" s="148"/>
      <c r="B32" s="148"/>
      <c r="C32" s="148"/>
      <c r="D32" s="148"/>
    </row>
    <row r="33" spans="1:4" x14ac:dyDescent="0.25">
      <c r="A33" s="146" t="s">
        <v>268</v>
      </c>
      <c r="B33" s="147"/>
      <c r="C33" s="147"/>
      <c r="D33" s="147"/>
    </row>
    <row r="34" spans="1:4" x14ac:dyDescent="0.25">
      <c r="A34" s="160" t="s">
        <v>275</v>
      </c>
      <c r="B34" s="148" t="s">
        <v>155</v>
      </c>
      <c r="C34" s="148">
        <v>62.5</v>
      </c>
      <c r="D34" s="148"/>
    </row>
    <row r="35" spans="1:4" x14ac:dyDescent="0.25">
      <c r="A35" s="160" t="s">
        <v>276</v>
      </c>
      <c r="B35" s="148" t="s">
        <v>155</v>
      </c>
      <c r="C35" s="148">
        <v>23.4</v>
      </c>
      <c r="D35" s="148"/>
    </row>
    <row r="36" spans="1:4" x14ac:dyDescent="0.25">
      <c r="A36" s="160" t="s">
        <v>333</v>
      </c>
      <c r="B36" s="148" t="s">
        <v>155</v>
      </c>
      <c r="C36" s="148">
        <v>43.44</v>
      </c>
      <c r="D36" s="148"/>
    </row>
    <row r="37" spans="1:4" x14ac:dyDescent="0.25">
      <c r="A37" s="160" t="s">
        <v>384</v>
      </c>
      <c r="B37" s="148" t="s">
        <v>155</v>
      </c>
      <c r="C37" s="148">
        <v>74.150000000000006</v>
      </c>
      <c r="D37" s="148"/>
    </row>
    <row r="38" spans="1:4" x14ac:dyDescent="0.25">
      <c r="A38" s="160" t="s">
        <v>279</v>
      </c>
      <c r="B38" s="160"/>
      <c r="C38" s="162">
        <v>0.2</v>
      </c>
      <c r="D38" s="148"/>
    </row>
    <row r="39" spans="1:4" ht="54" x14ac:dyDescent="0.25">
      <c r="A39" s="157"/>
      <c r="B39" s="148"/>
      <c r="C39" s="148"/>
      <c r="D39" s="158" t="s">
        <v>269</v>
      </c>
    </row>
    <row r="40" spans="1:4" x14ac:dyDescent="0.25">
      <c r="A40" s="148"/>
      <c r="B40" s="148"/>
      <c r="C40" s="148"/>
      <c r="D40" s="148"/>
    </row>
    <row r="41" spans="1:4" x14ac:dyDescent="0.25">
      <c r="A41" s="146" t="s">
        <v>338</v>
      </c>
      <c r="B41" s="147"/>
      <c r="C41" s="147"/>
      <c r="D41" s="147"/>
    </row>
    <row r="42" spans="1:4" ht="6.75" customHeight="1" x14ac:dyDescent="0.25">
      <c r="A42" s="148"/>
      <c r="B42" s="148"/>
      <c r="C42" s="148"/>
      <c r="D42" s="148"/>
    </row>
    <row r="43" spans="1:4" x14ac:dyDescent="0.25">
      <c r="A43" s="148" t="s">
        <v>339</v>
      </c>
      <c r="B43" s="148" t="s">
        <v>135</v>
      </c>
      <c r="C43" s="161">
        <f>C8/C6*C7</f>
        <v>5.8916666666666666</v>
      </c>
      <c r="D43" s="148"/>
    </row>
    <row r="44" spans="1:4" x14ac:dyDescent="0.25">
      <c r="A44" s="148" t="s">
        <v>137</v>
      </c>
      <c r="B44" s="148"/>
      <c r="C44" s="153">
        <v>0</v>
      </c>
      <c r="D44" s="148"/>
    </row>
    <row r="45" spans="1:4" x14ac:dyDescent="0.25">
      <c r="A45" s="148" t="s">
        <v>140</v>
      </c>
      <c r="B45" s="148"/>
      <c r="C45" s="153">
        <v>0</v>
      </c>
      <c r="D45" s="148"/>
    </row>
    <row r="46" spans="1:4" x14ac:dyDescent="0.25">
      <c r="A46" s="148" t="s">
        <v>138</v>
      </c>
      <c r="B46" s="148"/>
      <c r="C46" s="153">
        <v>0</v>
      </c>
      <c r="D46" s="148"/>
    </row>
    <row r="47" spans="1:4" x14ac:dyDescent="0.25">
      <c r="A47" s="148" t="s">
        <v>270</v>
      </c>
      <c r="B47" s="148"/>
      <c r="C47" s="153">
        <v>0</v>
      </c>
      <c r="D47" s="148"/>
    </row>
    <row r="48" spans="1:4" x14ac:dyDescent="0.25">
      <c r="A48" s="148" t="s">
        <v>139</v>
      </c>
      <c r="B48" s="148"/>
      <c r="C48" s="153">
        <v>0</v>
      </c>
      <c r="D48" s="148"/>
    </row>
    <row r="49" spans="1:4" x14ac:dyDescent="0.25">
      <c r="A49" s="148" t="s">
        <v>141</v>
      </c>
      <c r="B49" s="148"/>
      <c r="C49" s="153">
        <v>0</v>
      </c>
      <c r="D49" s="148"/>
    </row>
    <row r="50" spans="1:4" x14ac:dyDescent="0.25">
      <c r="A50" s="148" t="s">
        <v>344</v>
      </c>
      <c r="B50" s="148"/>
      <c r="C50" s="148">
        <f>2*45/60*2*4</f>
        <v>12</v>
      </c>
      <c r="D50" s="155"/>
    </row>
    <row r="51" spans="1:4" x14ac:dyDescent="0.25">
      <c r="A51" s="148" t="s">
        <v>345</v>
      </c>
      <c r="B51" s="148"/>
      <c r="C51" s="155">
        <f>C50*SUM(C43:C49)</f>
        <v>70.7</v>
      </c>
      <c r="D51" s="148"/>
    </row>
    <row r="52" spans="1:4" x14ac:dyDescent="0.25">
      <c r="A52" s="148" t="s">
        <v>346</v>
      </c>
      <c r="B52" s="148"/>
      <c r="C52" s="156">
        <f>C51*1.2</f>
        <v>84.84</v>
      </c>
      <c r="D52" s="148"/>
    </row>
  </sheetData>
  <pageMargins left="0.7" right="0.7" top="0.75" bottom="0.75" header="0.3" footer="0.3"/>
  <pageSetup paperSize="9" scale="82" fitToHeight="0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B14"/>
  <sheetViews>
    <sheetView topLeftCell="A7" zoomScaleNormal="100" workbookViewId="0">
      <selection activeCell="D15" sqref="D15"/>
    </sheetView>
  </sheetViews>
  <sheetFormatPr defaultRowHeight="13.5" x14ac:dyDescent="0.25"/>
  <cols>
    <col min="1" max="1" width="48.140625" style="80" customWidth="1"/>
    <col min="2" max="2" width="19.140625" style="8" customWidth="1"/>
    <col min="3" max="16384" width="9.140625" style="6"/>
  </cols>
  <sheetData>
    <row r="1" spans="1:2" s="85" customFormat="1" ht="27" x14ac:dyDescent="0.25">
      <c r="A1" s="82" t="s">
        <v>67</v>
      </c>
      <c r="B1" s="83" t="s">
        <v>401</v>
      </c>
    </row>
    <row r="2" spans="1:2" ht="27" x14ac:dyDescent="0.25">
      <c r="A2" s="80" t="s">
        <v>399</v>
      </c>
      <c r="B2" s="8">
        <v>50203.636363636368</v>
      </c>
    </row>
    <row r="3" spans="1:2" x14ac:dyDescent="0.25">
      <c r="A3" s="80" t="s">
        <v>402</v>
      </c>
      <c r="B3" s="8">
        <v>14181.81818181818</v>
      </c>
    </row>
    <row r="4" spans="1:2" x14ac:dyDescent="0.25">
      <c r="A4" s="80" t="s">
        <v>393</v>
      </c>
      <c r="B4" s="8">
        <v>1087178.1818181816</v>
      </c>
    </row>
    <row r="5" spans="1:2" x14ac:dyDescent="0.25">
      <c r="A5" s="80" t="s">
        <v>394</v>
      </c>
      <c r="B5" s="8">
        <v>1146458.1818181816</v>
      </c>
    </row>
    <row r="6" spans="1:2" x14ac:dyDescent="0.25">
      <c r="A6" s="80" t="s">
        <v>396</v>
      </c>
      <c r="B6" s="8">
        <v>28363.63636363636</v>
      </c>
    </row>
    <row r="7" spans="1:2" x14ac:dyDescent="0.25">
      <c r="A7" s="80" t="s">
        <v>395</v>
      </c>
      <c r="B7" s="8">
        <v>226909.09090909088</v>
      </c>
    </row>
    <row r="8" spans="1:2" x14ac:dyDescent="0.25">
      <c r="A8" s="80" t="s">
        <v>403</v>
      </c>
      <c r="B8" s="8">
        <v>48218.181818181816</v>
      </c>
    </row>
    <row r="9" spans="1:2" x14ac:dyDescent="0.25">
      <c r="A9" s="80" t="s">
        <v>400</v>
      </c>
      <c r="B9" s="8">
        <v>21443.63636363636</v>
      </c>
    </row>
    <row r="10" spans="1:2" x14ac:dyDescent="0.25">
      <c r="A10" s="80" t="s">
        <v>397</v>
      </c>
      <c r="B10" s="8">
        <v>87927.272727272706</v>
      </c>
    </row>
    <row r="11" spans="1:2" x14ac:dyDescent="0.25">
      <c r="A11" s="80" t="s">
        <v>398</v>
      </c>
      <c r="B11" s="8">
        <v>28363.63636363636</v>
      </c>
    </row>
    <row r="12" spans="1:2" s="169" customFormat="1" x14ac:dyDescent="0.25">
      <c r="A12" s="167" t="s">
        <v>28</v>
      </c>
      <c r="B12" s="168">
        <f>SUM(B2:B11)</f>
        <v>2739247.272727272</v>
      </c>
    </row>
    <row r="14" spans="1:2" ht="40.5" x14ac:dyDescent="0.25">
      <c r="A14" s="80" t="s">
        <v>436</v>
      </c>
      <c r="B14" s="234" t="s">
        <v>435</v>
      </c>
    </row>
  </sheetData>
  <pageMargins left="0.7" right="0.7" top="0.75" bottom="0.75" header="0.3" footer="0.3"/>
  <pageSetup paperSize="9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88"/>
  <sheetViews>
    <sheetView zoomScaleNormal="100" workbookViewId="0">
      <pane xSplit="2" ySplit="3" topLeftCell="C4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36" customWidth="1"/>
    <col min="5" max="5" width="12.140625" style="36" bestFit="1" customWidth="1"/>
    <col min="6" max="6" width="11.42578125" style="36" bestFit="1" customWidth="1"/>
    <col min="7" max="7" width="12" style="29" bestFit="1" customWidth="1"/>
    <col min="8" max="8" width="11.5703125" style="29" bestFit="1" customWidth="1"/>
    <col min="9" max="9" width="9.140625" style="6"/>
    <col min="10" max="10" width="12.5703125" style="6" bestFit="1" customWidth="1"/>
    <col min="11" max="16384" width="9.140625" style="6"/>
  </cols>
  <sheetData>
    <row r="1" spans="1:12" s="140" customFormat="1" ht="17.25" x14ac:dyDescent="0.3">
      <c r="A1" s="227">
        <v>3</v>
      </c>
      <c r="B1" s="228" t="s">
        <v>319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4" t="s">
        <v>232</v>
      </c>
      <c r="D5" s="52">
        <f>SUBTOTAL(9,D6:D7)</f>
        <v>8530.4892960000016</v>
      </c>
      <c r="E5" s="52">
        <f t="shared" ref="E5:G5" si="0">SUBTOTAL(9,E6:E7)</f>
        <v>4175.4720000000007</v>
      </c>
      <c r="F5" s="52">
        <f t="shared" si="0"/>
        <v>4355.017296</v>
      </c>
      <c r="G5" s="52">
        <f t="shared" si="0"/>
        <v>0</v>
      </c>
      <c r="H5" s="52">
        <f>SUBTOTAL(9,H6:H7)</f>
        <v>0</v>
      </c>
      <c r="I5" s="70"/>
    </row>
    <row r="6" spans="1:12" x14ac:dyDescent="0.25">
      <c r="B6" s="17" t="s">
        <v>23</v>
      </c>
      <c r="D6" s="52">
        <f t="shared" ref="D6:D13" si="1">SUM(E6:H6)</f>
        <v>1516.62105</v>
      </c>
      <c r="E6" s="52">
        <f>E71</f>
        <v>742.35</v>
      </c>
      <c r="F6" s="52">
        <f t="shared" ref="F6:H6" si="2">F71</f>
        <v>774.27104999999995</v>
      </c>
      <c r="G6" s="52">
        <f t="shared" si="2"/>
        <v>0</v>
      </c>
      <c r="H6" s="52">
        <f t="shared" si="2"/>
        <v>0</v>
      </c>
      <c r="I6" s="70"/>
    </row>
    <row r="7" spans="1:12" x14ac:dyDescent="0.25">
      <c r="B7" s="17" t="s">
        <v>191</v>
      </c>
      <c r="D7" s="52">
        <f t="shared" si="1"/>
        <v>7013.8682460000009</v>
      </c>
      <c r="E7" s="52">
        <f>E75</f>
        <v>3433.1220000000008</v>
      </c>
      <c r="F7" s="52">
        <f t="shared" ref="F7:H7" si="3">F75</f>
        <v>3580.7462460000002</v>
      </c>
      <c r="G7" s="52">
        <f t="shared" si="3"/>
        <v>0</v>
      </c>
      <c r="H7" s="52">
        <f t="shared" si="3"/>
        <v>0</v>
      </c>
      <c r="I7" s="70"/>
    </row>
    <row r="8" spans="1:12" x14ac:dyDescent="0.25">
      <c r="B8" s="14" t="s">
        <v>233</v>
      </c>
      <c r="D8" s="52">
        <f>SUBTOTAL(9,D9:D13)</f>
        <v>1031658</v>
      </c>
      <c r="E8" s="52">
        <f t="shared" ref="E8:H8" si="4">SUBTOTAL(9,E9:E13)</f>
        <v>0</v>
      </c>
      <c r="F8" s="52">
        <f t="shared" si="4"/>
        <v>0</v>
      </c>
      <c r="G8" s="52">
        <f t="shared" si="4"/>
        <v>156408</v>
      </c>
      <c r="H8" s="52">
        <f t="shared" si="4"/>
        <v>875250</v>
      </c>
      <c r="I8" s="70"/>
    </row>
    <row r="9" spans="1:12" x14ac:dyDescent="0.25">
      <c r="B9" s="17" t="s">
        <v>225</v>
      </c>
      <c r="D9" s="52">
        <f>SUM(E9:H9)</f>
        <v>29172</v>
      </c>
      <c r="E9" s="52">
        <f>E83</f>
        <v>0</v>
      </c>
      <c r="F9" s="52">
        <f t="shared" ref="F9:H9" si="5">F83</f>
        <v>0</v>
      </c>
      <c r="G9" s="52">
        <f t="shared" si="5"/>
        <v>9282</v>
      </c>
      <c r="H9" s="52">
        <f t="shared" si="5"/>
        <v>19890</v>
      </c>
      <c r="I9" s="70"/>
    </row>
    <row r="10" spans="1:12" x14ac:dyDescent="0.25">
      <c r="B10" s="17" t="s">
        <v>320</v>
      </c>
      <c r="D10" s="52">
        <f t="shared" si="1"/>
        <v>426816</v>
      </c>
      <c r="E10" s="52">
        <f>E87</f>
        <v>0</v>
      </c>
      <c r="F10" s="52">
        <f t="shared" ref="F10:H10" si="6">F87</f>
        <v>0</v>
      </c>
      <c r="G10" s="52">
        <f t="shared" si="6"/>
        <v>57456</v>
      </c>
      <c r="H10" s="52">
        <f t="shared" si="6"/>
        <v>369360</v>
      </c>
      <c r="I10" s="70"/>
    </row>
    <row r="11" spans="1:12" x14ac:dyDescent="0.25">
      <c r="B11" s="17" t="s">
        <v>389</v>
      </c>
      <c r="D11" s="52">
        <f t="shared" si="1"/>
        <v>439620</v>
      </c>
      <c r="E11" s="52">
        <f>E98+E103+E108</f>
        <v>0</v>
      </c>
      <c r="F11" s="52">
        <f t="shared" ref="F11:H11" si="7">F98+F103+F108</f>
        <v>0</v>
      </c>
      <c r="G11" s="52">
        <f t="shared" si="7"/>
        <v>57120</v>
      </c>
      <c r="H11" s="52">
        <f t="shared" si="7"/>
        <v>382500</v>
      </c>
      <c r="I11" s="70"/>
    </row>
    <row r="12" spans="1:12" x14ac:dyDescent="0.25">
      <c r="B12" s="17" t="s">
        <v>331</v>
      </c>
      <c r="D12" s="52">
        <f>SUM(E12:H12)</f>
        <v>106200</v>
      </c>
      <c r="E12" s="52">
        <f>E113</f>
        <v>0</v>
      </c>
      <c r="F12" s="52">
        <f t="shared" ref="F12:H12" si="8">F113</f>
        <v>0</v>
      </c>
      <c r="G12" s="52">
        <f t="shared" si="8"/>
        <v>25200</v>
      </c>
      <c r="H12" s="52">
        <f t="shared" si="8"/>
        <v>81000</v>
      </c>
      <c r="I12" s="70"/>
    </row>
    <row r="13" spans="1:12" x14ac:dyDescent="0.25">
      <c r="B13" s="17" t="s">
        <v>298</v>
      </c>
      <c r="D13" s="52">
        <f t="shared" si="1"/>
        <v>29850</v>
      </c>
      <c r="E13" s="52">
        <f>E118</f>
        <v>0</v>
      </c>
      <c r="F13" s="52">
        <f t="shared" ref="F13:H13" si="9">F118</f>
        <v>0</v>
      </c>
      <c r="G13" s="52">
        <f t="shared" si="9"/>
        <v>7350</v>
      </c>
      <c r="H13" s="52">
        <f t="shared" si="9"/>
        <v>22500</v>
      </c>
      <c r="I13" s="70"/>
    </row>
    <row r="14" spans="1:12" ht="14.25" thickBot="1" x14ac:dyDescent="0.3">
      <c r="A14" s="13"/>
      <c r="B14" s="13" t="s">
        <v>5</v>
      </c>
      <c r="C14" s="13"/>
      <c r="D14" s="55">
        <f>SUBTOTAL(9,D6:D13)</f>
        <v>1040188.489296</v>
      </c>
      <c r="E14" s="55">
        <f t="shared" ref="E14:H14" si="10">SUBTOTAL(9,E6:E13)</f>
        <v>4175.4720000000007</v>
      </c>
      <c r="F14" s="55">
        <f t="shared" si="10"/>
        <v>4355.017296</v>
      </c>
      <c r="G14" s="55">
        <f t="shared" si="10"/>
        <v>156408</v>
      </c>
      <c r="H14" s="55">
        <f t="shared" si="10"/>
        <v>875250</v>
      </c>
      <c r="I14" s="70"/>
    </row>
    <row r="15" spans="1:12" ht="5.25" customHeight="1" x14ac:dyDescent="0.25">
      <c r="I15" s="70"/>
    </row>
    <row r="16" spans="1:12" x14ac:dyDescent="0.25">
      <c r="A16" s="16"/>
      <c r="B16" s="16" t="s">
        <v>11</v>
      </c>
      <c r="C16" s="16"/>
      <c r="D16" s="34"/>
      <c r="E16" s="34"/>
      <c r="F16" s="34"/>
      <c r="G16" s="35"/>
      <c r="H16" s="35"/>
      <c r="I16" s="69"/>
      <c r="J16" s="12"/>
      <c r="K16" s="12"/>
      <c r="L16" s="12"/>
    </row>
    <row r="17" spans="1:12" x14ac:dyDescent="0.25">
      <c r="B17" s="17" t="s">
        <v>10</v>
      </c>
      <c r="D17" s="52">
        <f t="shared" ref="D17:D18" si="11">SUM(E17:H17)</f>
        <v>3646.6444733333337</v>
      </c>
      <c r="E17" s="52">
        <f>E127</f>
        <v>0</v>
      </c>
      <c r="F17" s="52">
        <f t="shared" ref="F17:H17" si="12">F127</f>
        <v>0</v>
      </c>
      <c r="G17" s="52">
        <f t="shared" si="12"/>
        <v>1823.3222366666669</v>
      </c>
      <c r="H17" s="52">
        <f t="shared" si="12"/>
        <v>1823.3222366666669</v>
      </c>
      <c r="I17" s="70"/>
    </row>
    <row r="18" spans="1:12" x14ac:dyDescent="0.25">
      <c r="B18" s="17" t="s">
        <v>130</v>
      </c>
      <c r="D18" s="52">
        <f t="shared" si="11"/>
        <v>103165.8</v>
      </c>
      <c r="E18" s="52">
        <f>(E14-E6-E7)*'Rates and GI'!$E$19</f>
        <v>0</v>
      </c>
      <c r="F18" s="52">
        <f>(F14-F6-F7)*'Rates and GI'!$E$19</f>
        <v>0</v>
      </c>
      <c r="G18" s="52">
        <f>(G14-G6-G7)*'Rates and GI'!$E$19</f>
        <v>15640.800000000001</v>
      </c>
      <c r="H18" s="52">
        <f>(H14-H6-H7)*'Rates and GI'!$E$19</f>
        <v>87525</v>
      </c>
      <c r="I18" s="70"/>
    </row>
    <row r="19" spans="1:12" ht="14.25" thickBot="1" x14ac:dyDescent="0.3">
      <c r="A19" s="13"/>
      <c r="B19" s="13" t="s">
        <v>68</v>
      </c>
      <c r="C19" s="13"/>
      <c r="D19" s="55">
        <f>SUBTOTAL(9,D17:D18)</f>
        <v>106812.44447333334</v>
      </c>
      <c r="E19" s="55">
        <f t="shared" ref="E19:H19" si="13">SUBTOTAL(9,E17:E18)</f>
        <v>0</v>
      </c>
      <c r="F19" s="55">
        <f t="shared" si="13"/>
        <v>0</v>
      </c>
      <c r="G19" s="55">
        <f t="shared" si="13"/>
        <v>17464.12223666667</v>
      </c>
      <c r="H19" s="55">
        <f t="shared" si="13"/>
        <v>89348.32223666666</v>
      </c>
      <c r="I19" s="70"/>
    </row>
    <row r="20" spans="1:12" ht="6.75" customHeight="1" x14ac:dyDescent="0.25">
      <c r="I20" s="70"/>
    </row>
    <row r="21" spans="1:12" x14ac:dyDescent="0.25">
      <c r="A21" s="16"/>
      <c r="B21" s="16" t="s">
        <v>12</v>
      </c>
      <c r="C21" s="16"/>
      <c r="D21" s="34"/>
      <c r="E21" s="34"/>
      <c r="F21" s="34"/>
      <c r="G21" s="35"/>
      <c r="H21" s="35"/>
      <c r="I21" s="69"/>
      <c r="J21" s="12"/>
      <c r="K21" s="12"/>
      <c r="L21" s="12"/>
    </row>
    <row r="22" spans="1:12" x14ac:dyDescent="0.25">
      <c r="B22" s="17" t="s">
        <v>192</v>
      </c>
      <c r="D22" s="52">
        <f t="shared" ref="D22:D23" si="14">SUM(E22:H22)</f>
        <v>2198.7436771000002</v>
      </c>
      <c r="E22" s="52">
        <f>E135</f>
        <v>712.48985000000005</v>
      </c>
      <c r="F22" s="52">
        <f t="shared" ref="F22:H22" si="15">F135</f>
        <v>1486.2538271000001</v>
      </c>
      <c r="G22" s="52">
        <f t="shared" si="15"/>
        <v>0</v>
      </c>
      <c r="H22" s="52">
        <f t="shared" si="15"/>
        <v>0</v>
      </c>
      <c r="I22" s="70"/>
    </row>
    <row r="23" spans="1:12" x14ac:dyDescent="0.25">
      <c r="B23" s="17" t="s">
        <v>73</v>
      </c>
      <c r="D23" s="52">
        <f t="shared" si="14"/>
        <v>2003.0132223666669</v>
      </c>
      <c r="E23" s="52">
        <f>E138</f>
        <v>0</v>
      </c>
      <c r="F23" s="52">
        <f t="shared" ref="F23:H23" si="16">F138</f>
        <v>0</v>
      </c>
      <c r="G23" s="52">
        <f t="shared" si="16"/>
        <v>1000.7464111833334</v>
      </c>
      <c r="H23" s="52">
        <f t="shared" si="16"/>
        <v>1002.2668111833334</v>
      </c>
      <c r="I23" s="70"/>
    </row>
    <row r="24" spans="1:12" ht="14.25" thickBot="1" x14ac:dyDescent="0.3">
      <c r="A24" s="13"/>
      <c r="B24" s="13" t="s">
        <v>76</v>
      </c>
      <c r="C24" s="13"/>
      <c r="D24" s="55">
        <f>SUBTOTAL(9,D22:D23)</f>
        <v>4201.7568994666672</v>
      </c>
      <c r="E24" s="55">
        <f t="shared" ref="E24:H24" si="17">SUBTOTAL(9,E22:E23)</f>
        <v>712.48985000000005</v>
      </c>
      <c r="F24" s="55">
        <f t="shared" si="17"/>
        <v>1486.2538271000001</v>
      </c>
      <c r="G24" s="55">
        <f t="shared" si="17"/>
        <v>1000.7464111833334</v>
      </c>
      <c r="H24" s="55">
        <f t="shared" si="17"/>
        <v>1002.2668111833334</v>
      </c>
      <c r="I24" s="70"/>
    </row>
    <row r="25" spans="1:12" ht="5.25" customHeight="1" x14ac:dyDescent="0.25">
      <c r="I25" s="70"/>
    </row>
    <row r="26" spans="1:12" x14ac:dyDescent="0.25">
      <c r="A26" s="16"/>
      <c r="B26" s="16" t="s">
        <v>156</v>
      </c>
      <c r="C26" s="16"/>
      <c r="D26" s="34"/>
      <c r="E26" s="34"/>
      <c r="F26" s="34"/>
      <c r="G26" s="35"/>
      <c r="H26" s="35"/>
      <c r="I26" s="12"/>
      <c r="J26" s="12"/>
      <c r="K26" s="12"/>
      <c r="L26" s="12"/>
    </row>
    <row r="27" spans="1:12" x14ac:dyDescent="0.25">
      <c r="B27" s="17" t="s">
        <v>148</v>
      </c>
      <c r="D27" s="52">
        <f t="shared" ref="D27" si="18">SUM(E27:H27)</f>
        <v>1086</v>
      </c>
      <c r="E27" s="52">
        <f>E140</f>
        <v>0</v>
      </c>
      <c r="F27" s="52">
        <f t="shared" ref="F27:H27" si="19">F140</f>
        <v>0</v>
      </c>
      <c r="G27" s="52">
        <f t="shared" si="19"/>
        <v>390.96</v>
      </c>
      <c r="H27" s="52">
        <f t="shared" si="19"/>
        <v>695.04</v>
      </c>
    </row>
    <row r="28" spans="1:12" x14ac:dyDescent="0.25">
      <c r="B28" s="17" t="s">
        <v>157</v>
      </c>
      <c r="D28" s="52">
        <f t="shared" ref="D28" si="20">SUM(E28:H28)</f>
        <v>0</v>
      </c>
      <c r="E28" s="52"/>
      <c r="F28" s="52"/>
      <c r="G28" s="44"/>
      <c r="H28" s="44"/>
    </row>
    <row r="29" spans="1:12" ht="14.25" thickBot="1" x14ac:dyDescent="0.3">
      <c r="A29" s="13"/>
      <c r="B29" s="13" t="s">
        <v>158</v>
      </c>
      <c r="C29" s="13"/>
      <c r="D29" s="55">
        <f>SUBTOTAL(9,D27:D28)</f>
        <v>1086</v>
      </c>
      <c r="E29" s="55">
        <f t="shared" ref="E29:H29" si="21">SUBTOTAL(9,E27:E28)</f>
        <v>0</v>
      </c>
      <c r="F29" s="55">
        <f t="shared" si="21"/>
        <v>0</v>
      </c>
      <c r="G29" s="55">
        <f t="shared" si="21"/>
        <v>390.96</v>
      </c>
      <c r="H29" s="55">
        <f t="shared" si="21"/>
        <v>695.04</v>
      </c>
    </row>
    <row r="30" spans="1:12" ht="5.25" customHeight="1" x14ac:dyDescent="0.25"/>
    <row r="31" spans="1:12" x14ac:dyDescent="0.25">
      <c r="A31" s="16"/>
      <c r="B31" s="16" t="s">
        <v>74</v>
      </c>
      <c r="C31" s="16"/>
      <c r="D31" s="34"/>
      <c r="E31" s="34"/>
      <c r="F31" s="34"/>
      <c r="G31" s="35"/>
      <c r="H31" s="35"/>
      <c r="I31" s="12"/>
      <c r="J31" s="12"/>
      <c r="K31" s="12"/>
      <c r="L31" s="12"/>
    </row>
    <row r="32" spans="1:12" s="70" customFormat="1" x14ac:dyDescent="0.25">
      <c r="A32" s="94"/>
      <c r="B32" s="166" t="s">
        <v>24</v>
      </c>
      <c r="C32" s="94"/>
      <c r="D32" s="52">
        <f>SUM(E32:H32)</f>
        <v>1538.6999999999998</v>
      </c>
      <c r="E32" s="52">
        <f>E149</f>
        <v>600</v>
      </c>
      <c r="F32" s="52">
        <f t="shared" ref="F32:H32" si="22">F149</f>
        <v>938.69999999999982</v>
      </c>
      <c r="G32" s="52">
        <f t="shared" si="22"/>
        <v>0</v>
      </c>
      <c r="H32" s="52">
        <f t="shared" si="22"/>
        <v>0</v>
      </c>
    </row>
    <row r="33" spans="1:12" s="70" customFormat="1" x14ac:dyDescent="0.25">
      <c r="A33" s="94"/>
      <c r="B33" s="166" t="s">
        <v>25</v>
      </c>
      <c r="C33" s="94"/>
      <c r="D33" s="52">
        <f t="shared" ref="D33" si="23">SUM(E33:H33)</f>
        <v>0</v>
      </c>
      <c r="E33" s="52">
        <f>E193</f>
        <v>0</v>
      </c>
      <c r="F33" s="52">
        <f>F193</f>
        <v>0</v>
      </c>
      <c r="G33" s="52">
        <f>G193</f>
        <v>0</v>
      </c>
      <c r="H33" s="52">
        <f>H193</f>
        <v>0</v>
      </c>
    </row>
    <row r="34" spans="1:12" s="70" customFormat="1" x14ac:dyDescent="0.25">
      <c r="A34" s="94"/>
      <c r="B34" s="17" t="s">
        <v>432</v>
      </c>
      <c r="C34" s="94"/>
      <c r="D34" s="52"/>
      <c r="E34" s="52"/>
      <c r="F34" s="52"/>
      <c r="G34" s="44"/>
      <c r="H34" s="44"/>
    </row>
    <row r="35" spans="1:12" s="70" customFormat="1" ht="14.25" thickBot="1" x14ac:dyDescent="0.3">
      <c r="A35" s="95"/>
      <c r="B35" s="95" t="s">
        <v>75</v>
      </c>
      <c r="C35" s="95"/>
      <c r="D35" s="55">
        <f>SUBTOTAL(9,D32:D34)</f>
        <v>1538.6999999999998</v>
      </c>
      <c r="E35" s="55">
        <f t="shared" ref="E35:H35" si="24">SUBTOTAL(9,E32:E34)</f>
        <v>600</v>
      </c>
      <c r="F35" s="55">
        <f t="shared" si="24"/>
        <v>938.69999999999982</v>
      </c>
      <c r="G35" s="55">
        <f t="shared" si="24"/>
        <v>0</v>
      </c>
      <c r="H35" s="55">
        <f t="shared" si="24"/>
        <v>0</v>
      </c>
    </row>
    <row r="37" spans="1:12" x14ac:dyDescent="0.25">
      <c r="A37" s="16"/>
      <c r="B37" s="16" t="s">
        <v>7</v>
      </c>
      <c r="C37" s="16"/>
      <c r="D37" s="34"/>
      <c r="E37" s="34"/>
      <c r="F37" s="34"/>
      <c r="G37" s="35"/>
      <c r="H37" s="35"/>
      <c r="I37" s="12"/>
      <c r="J37" s="12"/>
      <c r="K37" s="12"/>
      <c r="L37" s="12"/>
    </row>
    <row r="38" spans="1:12" x14ac:dyDescent="0.25">
      <c r="B38" s="17" t="s">
        <v>58</v>
      </c>
      <c r="D38" s="52">
        <f t="shared" ref="D38:D42" si="25">SUM(E38:H38)</f>
        <v>2756250</v>
      </c>
      <c r="E38" s="52">
        <f>F154</f>
        <v>1929374.9999999998</v>
      </c>
      <c r="F38" s="52">
        <f t="shared" ref="F38:H38" si="26">G154</f>
        <v>826875</v>
      </c>
      <c r="G38" s="52">
        <f t="shared" si="26"/>
        <v>0</v>
      </c>
      <c r="H38" s="52">
        <f t="shared" si="26"/>
        <v>0</v>
      </c>
      <c r="J38" s="111"/>
    </row>
    <row r="39" spans="1:12" x14ac:dyDescent="0.25">
      <c r="B39" s="17" t="s">
        <v>26</v>
      </c>
      <c r="D39" s="52">
        <f t="shared" si="25"/>
        <v>120000</v>
      </c>
      <c r="E39" s="52">
        <f>E160</f>
        <v>0</v>
      </c>
      <c r="F39" s="52">
        <f t="shared" ref="F39:H39" si="27">F160</f>
        <v>0</v>
      </c>
      <c r="G39" s="52">
        <f t="shared" si="27"/>
        <v>48000</v>
      </c>
      <c r="H39" s="52">
        <f t="shared" si="27"/>
        <v>72000</v>
      </c>
    </row>
    <row r="40" spans="1:12" x14ac:dyDescent="0.25">
      <c r="B40" s="17" t="s">
        <v>8</v>
      </c>
      <c r="D40" s="52">
        <f t="shared" si="25"/>
        <v>60000</v>
      </c>
      <c r="E40" s="52">
        <f>E175</f>
        <v>0</v>
      </c>
      <c r="F40" s="52">
        <f t="shared" ref="F40:H40" si="28">F175</f>
        <v>0</v>
      </c>
      <c r="G40" s="52">
        <f t="shared" si="28"/>
        <v>24000</v>
      </c>
      <c r="H40" s="52">
        <f t="shared" si="28"/>
        <v>36000</v>
      </c>
    </row>
    <row r="41" spans="1:12" x14ac:dyDescent="0.25">
      <c r="B41" s="17" t="s">
        <v>318</v>
      </c>
      <c r="D41" s="52">
        <f t="shared" si="25"/>
        <v>21000</v>
      </c>
      <c r="E41" s="52">
        <f>E179</f>
        <v>0</v>
      </c>
      <c r="F41" s="52">
        <f t="shared" ref="F41:H41" si="29">F179</f>
        <v>0</v>
      </c>
      <c r="G41" s="52">
        <f t="shared" si="29"/>
        <v>21000</v>
      </c>
      <c r="H41" s="52">
        <f t="shared" si="29"/>
        <v>0</v>
      </c>
    </row>
    <row r="42" spans="1:12" x14ac:dyDescent="0.25">
      <c r="B42" s="17" t="s">
        <v>9</v>
      </c>
      <c r="D42" s="52">
        <f t="shared" si="25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69</v>
      </c>
      <c r="C43" s="13"/>
      <c r="D43" s="55">
        <f>SUBTOTAL(9,D38:D42)</f>
        <v>2957250</v>
      </c>
      <c r="E43" s="55">
        <f t="shared" ref="E43:H43" si="30">SUBTOTAL(9,E38:E42)</f>
        <v>1929374.9999999998</v>
      </c>
      <c r="F43" s="55">
        <f t="shared" si="30"/>
        <v>826875</v>
      </c>
      <c r="G43" s="55">
        <f>SUBTOTAL(9,G38:G42)</f>
        <v>93000</v>
      </c>
      <c r="H43" s="55">
        <f t="shared" si="30"/>
        <v>108000</v>
      </c>
    </row>
    <row r="44" spans="1:12" ht="7.5" customHeight="1" x14ac:dyDescent="0.25"/>
    <row r="45" spans="1:12" x14ac:dyDescent="0.25">
      <c r="A45" s="16"/>
      <c r="B45" s="16" t="s">
        <v>16</v>
      </c>
      <c r="C45" s="16"/>
      <c r="D45" s="34"/>
      <c r="E45" s="34"/>
      <c r="F45" s="34"/>
      <c r="G45" s="35"/>
      <c r="H45" s="35"/>
      <c r="I45" s="12"/>
      <c r="J45" s="12"/>
      <c r="K45" s="12"/>
      <c r="L45" s="12"/>
    </row>
    <row r="46" spans="1:12" x14ac:dyDescent="0.25">
      <c r="A46" s="2"/>
      <c r="B46" s="2" t="s">
        <v>244</v>
      </c>
      <c r="C46" s="2"/>
      <c r="D46" s="52">
        <f t="shared" ref="D46:D50" si="31">SUM(E46:H46)</f>
        <v>241920</v>
      </c>
      <c r="E46" s="52">
        <f>E202</f>
        <v>0</v>
      </c>
      <c r="F46" s="52">
        <f t="shared" ref="F46:H49" si="32">F202</f>
        <v>0</v>
      </c>
      <c r="G46" s="52">
        <f t="shared" si="32"/>
        <v>120960</v>
      </c>
      <c r="H46" s="52">
        <f t="shared" si="32"/>
        <v>120960</v>
      </c>
    </row>
    <row r="47" spans="1:12" x14ac:dyDescent="0.25">
      <c r="A47" s="2"/>
      <c r="B47" s="2" t="s">
        <v>18</v>
      </c>
      <c r="C47" s="2"/>
      <c r="D47" s="52">
        <f t="shared" si="31"/>
        <v>56700</v>
      </c>
      <c r="E47" s="52">
        <f>E203</f>
        <v>0</v>
      </c>
      <c r="F47" s="52">
        <f t="shared" si="32"/>
        <v>0</v>
      </c>
      <c r="G47" s="52">
        <f t="shared" si="32"/>
        <v>28350</v>
      </c>
      <c r="H47" s="52">
        <f t="shared" si="32"/>
        <v>28350</v>
      </c>
    </row>
    <row r="48" spans="1:12" x14ac:dyDescent="0.25">
      <c r="A48" s="2"/>
      <c r="B48" s="2" t="s">
        <v>19</v>
      </c>
      <c r="C48" s="2"/>
      <c r="D48" s="52">
        <f t="shared" si="31"/>
        <v>47250</v>
      </c>
      <c r="E48" s="52">
        <f>E204</f>
        <v>0</v>
      </c>
      <c r="F48" s="52">
        <f t="shared" si="32"/>
        <v>0</v>
      </c>
      <c r="G48" s="52">
        <f t="shared" si="32"/>
        <v>23625</v>
      </c>
      <c r="H48" s="52">
        <f t="shared" si="32"/>
        <v>23625</v>
      </c>
    </row>
    <row r="49" spans="1:12" x14ac:dyDescent="0.25">
      <c r="A49" s="2"/>
      <c r="B49" s="2" t="s">
        <v>22</v>
      </c>
      <c r="C49" s="2"/>
      <c r="D49" s="52">
        <f t="shared" si="31"/>
        <v>37800</v>
      </c>
      <c r="E49" s="52">
        <f>E205</f>
        <v>0</v>
      </c>
      <c r="F49" s="52">
        <f t="shared" si="32"/>
        <v>0</v>
      </c>
      <c r="G49" s="52">
        <f t="shared" si="32"/>
        <v>18900</v>
      </c>
      <c r="H49" s="52">
        <f t="shared" si="32"/>
        <v>18900</v>
      </c>
    </row>
    <row r="50" spans="1:12" x14ac:dyDescent="0.25">
      <c r="A50" s="3"/>
      <c r="B50" s="3" t="s">
        <v>13</v>
      </c>
      <c r="C50" s="3"/>
      <c r="D50" s="52">
        <f t="shared" si="31"/>
        <v>12000</v>
      </c>
      <c r="E50" s="52">
        <f>E207</f>
        <v>0</v>
      </c>
      <c r="F50" s="52">
        <f t="shared" ref="F50:H50" si="33">F207</f>
        <v>0</v>
      </c>
      <c r="G50" s="52">
        <f t="shared" si="33"/>
        <v>6000</v>
      </c>
      <c r="H50" s="52">
        <f t="shared" si="33"/>
        <v>6000</v>
      </c>
    </row>
    <row r="51" spans="1:12" ht="14.25" thickBot="1" x14ac:dyDescent="0.3">
      <c r="A51" s="13"/>
      <c r="B51" s="13" t="s">
        <v>70</v>
      </c>
      <c r="C51" s="13"/>
      <c r="D51" s="55">
        <f>SUBTOTAL(9,D46:D50)</f>
        <v>395670</v>
      </c>
      <c r="E51" s="55">
        <f>SUBTOTAL(9,E46:E50)</f>
        <v>0</v>
      </c>
      <c r="F51" s="55">
        <f>SUBTOTAL(9,F46:F50)</f>
        <v>0</v>
      </c>
      <c r="G51" s="55">
        <f>SUBTOTAL(9,G46:G50)</f>
        <v>197835</v>
      </c>
      <c r="H51" s="55">
        <f>SUBTOTAL(9,H46:H50)</f>
        <v>197835</v>
      </c>
    </row>
    <row r="52" spans="1:12" x14ac:dyDescent="0.25">
      <c r="A52" s="3"/>
      <c r="B52" s="6"/>
      <c r="C52" s="3"/>
    </row>
    <row r="53" spans="1:12" x14ac:dyDescent="0.25">
      <c r="A53" s="16"/>
      <c r="B53" s="16" t="s">
        <v>20</v>
      </c>
      <c r="C53" s="16"/>
      <c r="D53" s="34"/>
      <c r="E53" s="34"/>
      <c r="F53" s="34"/>
      <c r="G53" s="35"/>
      <c r="H53" s="35"/>
      <c r="I53" s="12"/>
      <c r="J53" s="12"/>
      <c r="K53" s="12"/>
      <c r="L53" s="12"/>
    </row>
    <row r="54" spans="1:12" x14ac:dyDescent="0.25">
      <c r="A54" s="3"/>
      <c r="B54" s="3" t="s">
        <v>218</v>
      </c>
      <c r="C54" s="3"/>
      <c r="D54" s="52">
        <f t="shared" ref="D54:D55" si="34">SUM(E54:H54)</f>
        <v>0</v>
      </c>
      <c r="E54" s="52">
        <f>E221</f>
        <v>0</v>
      </c>
      <c r="F54" s="52">
        <f t="shared" ref="F54:H54" si="35">F221</f>
        <v>0</v>
      </c>
      <c r="G54" s="52">
        <f t="shared" si="35"/>
        <v>0</v>
      </c>
      <c r="H54" s="52">
        <f t="shared" si="35"/>
        <v>0</v>
      </c>
    </row>
    <row r="55" spans="1:12" x14ac:dyDescent="0.25">
      <c r="A55" s="3"/>
      <c r="B55" s="3" t="s">
        <v>21</v>
      </c>
      <c r="C55" s="3"/>
      <c r="D55" s="52">
        <f t="shared" si="34"/>
        <v>1950</v>
      </c>
      <c r="E55" s="52">
        <f>E211</f>
        <v>0</v>
      </c>
      <c r="F55" s="52">
        <f t="shared" ref="F55:H55" si="36">F211</f>
        <v>1750</v>
      </c>
      <c r="G55" s="52">
        <f t="shared" si="36"/>
        <v>100</v>
      </c>
      <c r="H55" s="52">
        <f t="shared" si="36"/>
        <v>100</v>
      </c>
    </row>
    <row r="56" spans="1:12" ht="14.25" thickBot="1" x14ac:dyDescent="0.3">
      <c r="A56" s="13"/>
      <c r="B56" s="13" t="s">
        <v>71</v>
      </c>
      <c r="C56" s="13"/>
      <c r="D56" s="55">
        <f>SUBTOTAL(9,D54:D55)</f>
        <v>1950</v>
      </c>
      <c r="E56" s="55">
        <f>SUBTOTAL(9,E54:E55)</f>
        <v>0</v>
      </c>
      <c r="F56" s="55">
        <f>SUBTOTAL(9,F54:F55)</f>
        <v>1750</v>
      </c>
      <c r="G56" s="55">
        <f>SUBTOTAL(9,G54:G55)</f>
        <v>100</v>
      </c>
      <c r="H56" s="55">
        <f>SUBTOTAL(9,H54:H55)</f>
        <v>100</v>
      </c>
    </row>
    <row r="57" spans="1:12" ht="8.25" customHeight="1" x14ac:dyDescent="0.25">
      <c r="A57" s="1"/>
      <c r="B57" s="1"/>
      <c r="C57" s="1"/>
      <c r="D57" s="52"/>
      <c r="E57" s="52"/>
      <c r="F57" s="52"/>
      <c r="G57" s="44"/>
      <c r="H57" s="44"/>
    </row>
    <row r="58" spans="1:12" ht="14.25" thickBot="1" x14ac:dyDescent="0.3">
      <c r="A58" s="56"/>
      <c r="B58" s="56" t="s">
        <v>160</v>
      </c>
      <c r="C58" s="56"/>
      <c r="D58" s="57">
        <f>SUBTOTAL(9,D6:D56)</f>
        <v>4508697.3906688001</v>
      </c>
      <c r="E58" s="57">
        <f>SUBTOTAL(9,E6:E56)</f>
        <v>1934862.9618499998</v>
      </c>
      <c r="F58" s="57">
        <f>SUBTOTAL(9,F6:F56)</f>
        <v>835404.97112310003</v>
      </c>
      <c r="G58" s="57">
        <f>SUBTOTAL(9,G6:G56)</f>
        <v>466198.82864784996</v>
      </c>
      <c r="H58" s="57">
        <f>SUBTOTAL(9,H6:H56)</f>
        <v>1272230.6290478501</v>
      </c>
    </row>
    <row r="59" spans="1:12" ht="14.25" thickBot="1" x14ac:dyDescent="0.3">
      <c r="A59" s="1"/>
      <c r="B59" s="1"/>
      <c r="C59" s="1"/>
    </row>
    <row r="60" spans="1:12" ht="18" thickTop="1" x14ac:dyDescent="0.3">
      <c r="A60" s="224"/>
      <c r="B60" s="225" t="s">
        <v>27</v>
      </c>
      <c r="C60" s="225"/>
      <c r="D60" s="226"/>
      <c r="E60" s="226"/>
      <c r="F60" s="226"/>
      <c r="G60" s="226"/>
      <c r="H60" s="226"/>
    </row>
    <row r="61" spans="1:12" ht="6" customHeight="1" x14ac:dyDescent="0.25">
      <c r="A61" s="1"/>
      <c r="B61" s="1"/>
      <c r="C61" s="1"/>
    </row>
    <row r="62" spans="1:12" x14ac:dyDescent="0.25">
      <c r="A62" s="120"/>
      <c r="B62" s="120" t="s">
        <v>67</v>
      </c>
      <c r="C62" s="120" t="s">
        <v>66</v>
      </c>
      <c r="D62" s="121"/>
      <c r="E62" s="122">
        <f>start</f>
        <v>43466</v>
      </c>
      <c r="F62" s="122">
        <f>EOMONTH(E62,11)+1</f>
        <v>43831</v>
      </c>
      <c r="G62" s="122">
        <f>EOMONTH(F62,11)+1</f>
        <v>44197</v>
      </c>
      <c r="H62" s="122">
        <f>EOMONTH(G62,11)+1</f>
        <v>44562</v>
      </c>
    </row>
    <row r="63" spans="1:12" ht="6.75" customHeight="1" x14ac:dyDescent="0.25"/>
    <row r="64" spans="1:12" x14ac:dyDescent="0.25">
      <c r="A64" s="58"/>
      <c r="B64" s="58" t="s">
        <v>232</v>
      </c>
      <c r="C64" s="58"/>
      <c r="D64" s="59"/>
      <c r="E64" s="59"/>
      <c r="F64" s="59"/>
      <c r="G64" s="59"/>
      <c r="H64" s="59"/>
    </row>
    <row r="65" spans="1:12" hidden="1" x14ac:dyDescent="0.25">
      <c r="B65" s="5" t="s">
        <v>2</v>
      </c>
      <c r="E65" s="36">
        <f>E66*E67*E68*E69</f>
        <v>0</v>
      </c>
      <c r="F65" s="36">
        <f t="shared" ref="F65:H65" si="37">F66*F67*F68*F69</f>
        <v>0</v>
      </c>
      <c r="G65" s="36">
        <f t="shared" si="37"/>
        <v>0</v>
      </c>
      <c r="H65" s="36">
        <f t="shared" si="37"/>
        <v>0</v>
      </c>
    </row>
    <row r="66" spans="1:12" hidden="1" x14ac:dyDescent="0.25">
      <c r="A66" s="9"/>
      <c r="B66" s="9" t="s">
        <v>37</v>
      </c>
      <c r="C66" s="9"/>
      <c r="E66" s="36">
        <v>0</v>
      </c>
      <c r="F66" s="36">
        <v>0</v>
      </c>
      <c r="G66" s="36">
        <v>0</v>
      </c>
      <c r="H66" s="36">
        <v>0</v>
      </c>
    </row>
    <row r="67" spans="1:12" hidden="1" x14ac:dyDescent="0.25">
      <c r="A67" s="9"/>
      <c r="B67" s="9" t="s">
        <v>38</v>
      </c>
      <c r="C67" s="9"/>
      <c r="D67" s="37"/>
      <c r="E67" s="37">
        <v>0</v>
      </c>
      <c r="F67" s="77">
        <f>3/22</f>
        <v>0.13636363636363635</v>
      </c>
      <c r="G67" s="77">
        <f t="shared" ref="G67:H67" si="38">3/22</f>
        <v>0.13636363636363635</v>
      </c>
      <c r="H67" s="77">
        <f t="shared" si="38"/>
        <v>0.13636363636363635</v>
      </c>
    </row>
    <row r="68" spans="1:12" hidden="1" x14ac:dyDescent="0.25">
      <c r="A68" s="9"/>
      <c r="B68" s="9" t="s">
        <v>39</v>
      </c>
      <c r="C68" s="9"/>
      <c r="E68" s="36">
        <f>'Rates and GI'!D11</f>
        <v>0</v>
      </c>
      <c r="F68" s="36">
        <f>E68*(1+index)</f>
        <v>0</v>
      </c>
      <c r="G68" s="36">
        <f>F68*(1+index)</f>
        <v>0</v>
      </c>
      <c r="H68" s="36">
        <f>G68*(1+index)</f>
        <v>0</v>
      </c>
    </row>
    <row r="69" spans="1:12" hidden="1" x14ac:dyDescent="0.25">
      <c r="A69" s="9"/>
      <c r="B69" s="9" t="s">
        <v>40</v>
      </c>
      <c r="C69" s="9"/>
      <c r="E69" s="39">
        <v>0</v>
      </c>
      <c r="F69" s="36">
        <v>4</v>
      </c>
      <c r="G69" s="29">
        <v>12</v>
      </c>
      <c r="H69" s="29">
        <v>12</v>
      </c>
    </row>
    <row r="70" spans="1:12" hidden="1" x14ac:dyDescent="0.25">
      <c r="A70" s="9"/>
      <c r="B70" s="9"/>
      <c r="C70" s="9"/>
    </row>
    <row r="71" spans="1:12" x14ac:dyDescent="0.25">
      <c r="B71" s="5" t="s">
        <v>23</v>
      </c>
      <c r="E71" s="52">
        <f>E72*E73</f>
        <v>742.35</v>
      </c>
      <c r="F71" s="52">
        <f t="shared" ref="F71:H71" si="39">F72*F73</f>
        <v>774.27104999999995</v>
      </c>
      <c r="G71" s="52">
        <f t="shared" si="39"/>
        <v>0</v>
      </c>
      <c r="H71" s="52">
        <f t="shared" si="39"/>
        <v>0</v>
      </c>
      <c r="I71" s="70"/>
    </row>
    <row r="72" spans="1:12" x14ac:dyDescent="0.25">
      <c r="A72" s="9"/>
      <c r="B72" s="9" t="s">
        <v>129</v>
      </c>
      <c r="C72" s="9" t="s">
        <v>128</v>
      </c>
      <c r="E72" s="52">
        <v>42</v>
      </c>
      <c r="F72" s="52">
        <v>42</v>
      </c>
      <c r="G72" s="52">
        <v>0</v>
      </c>
      <c r="H72" s="52">
        <v>0</v>
      </c>
      <c r="I72" s="70"/>
    </row>
    <row r="73" spans="1:12" x14ac:dyDescent="0.25">
      <c r="A73" s="9"/>
      <c r="B73" s="9" t="s">
        <v>41</v>
      </c>
      <c r="C73" s="9"/>
      <c r="E73" s="52">
        <f>'Rates and GI'!D12</f>
        <v>17.675000000000001</v>
      </c>
      <c r="F73" s="52">
        <f>E73*(1+index)</f>
        <v>18.435025</v>
      </c>
      <c r="G73" s="52">
        <f>F73*(1+index)</f>
        <v>19.227731074999998</v>
      </c>
      <c r="H73" s="52">
        <f>G73*(1+index)</f>
        <v>20.054523511224996</v>
      </c>
      <c r="I73" s="70"/>
    </row>
    <row r="74" spans="1:12" x14ac:dyDescent="0.25">
      <c r="E74" s="52"/>
      <c r="F74" s="52"/>
      <c r="G74" s="44"/>
      <c r="H74" s="44"/>
      <c r="I74" s="70"/>
    </row>
    <row r="75" spans="1:12" s="7" customFormat="1" x14ac:dyDescent="0.25">
      <c r="A75" s="5"/>
      <c r="B75" s="5" t="s">
        <v>191</v>
      </c>
      <c r="C75" s="5"/>
      <c r="D75" s="36"/>
      <c r="E75" s="52">
        <f>E76*E77</f>
        <v>3433.1220000000008</v>
      </c>
      <c r="F75" s="52">
        <f t="shared" ref="F75:H75" si="40">F76*F77</f>
        <v>3580.7462460000002</v>
      </c>
      <c r="G75" s="52">
        <f t="shared" si="40"/>
        <v>0</v>
      </c>
      <c r="H75" s="52">
        <f t="shared" si="40"/>
        <v>0</v>
      </c>
      <c r="I75" s="70"/>
      <c r="J75" s="6"/>
      <c r="K75" s="6"/>
      <c r="L75" s="6"/>
    </row>
    <row r="76" spans="1:12" s="7" customFormat="1" x14ac:dyDescent="0.25">
      <c r="A76" s="9"/>
      <c r="B76" s="9" t="s">
        <v>193</v>
      </c>
      <c r="C76" s="9" t="s">
        <v>128</v>
      </c>
      <c r="D76" s="36"/>
      <c r="E76" s="52">
        <v>21</v>
      </c>
      <c r="F76" s="52">
        <v>21</v>
      </c>
      <c r="G76" s="52">
        <v>0</v>
      </c>
      <c r="H76" s="52">
        <v>0</v>
      </c>
      <c r="I76" s="70"/>
      <c r="J76" s="6"/>
      <c r="K76" s="6"/>
      <c r="L76" s="6"/>
    </row>
    <row r="77" spans="1:12" s="7" customFormat="1" x14ac:dyDescent="0.25">
      <c r="A77" s="9"/>
      <c r="B77" s="9" t="s">
        <v>41</v>
      </c>
      <c r="C77" s="9"/>
      <c r="D77" s="36"/>
      <c r="E77" s="52">
        <f>'Rates and GI'!D13</f>
        <v>163.48200000000003</v>
      </c>
      <c r="F77" s="52">
        <f>E77*(1+index)</f>
        <v>170.51172600000001</v>
      </c>
      <c r="G77" s="52">
        <f>F77*(1+index)</f>
        <v>177.84373021799999</v>
      </c>
      <c r="H77" s="52">
        <f>G77*(1+index)</f>
        <v>185.49101061737397</v>
      </c>
      <c r="I77" s="70"/>
      <c r="J77" s="6"/>
      <c r="K77" s="6"/>
      <c r="L77" s="6"/>
    </row>
    <row r="79" spans="1:12" x14ac:dyDescent="0.25">
      <c r="A79" s="58"/>
      <c r="B79" s="58" t="s">
        <v>233</v>
      </c>
      <c r="C79" s="58"/>
      <c r="D79" s="59"/>
      <c r="E79" s="60">
        <f>E83+E87+E98+E103+E108+E113+E118</f>
        <v>0</v>
      </c>
      <c r="F79" s="60">
        <f t="shared" ref="F79:H79" si="41">F83+F87+F98+F103+F108+F113+F118</f>
        <v>0</v>
      </c>
      <c r="G79" s="60">
        <f t="shared" si="41"/>
        <v>156408</v>
      </c>
      <c r="H79" s="60">
        <f t="shared" si="41"/>
        <v>875250</v>
      </c>
    </row>
    <row r="80" spans="1:12" x14ac:dyDescent="0.25">
      <c r="G80" s="36"/>
      <c r="H80" s="36"/>
    </row>
    <row r="81" spans="1:12" s="7" customFormat="1" x14ac:dyDescent="0.25">
      <c r="A81" s="5"/>
      <c r="B81" s="5" t="s">
        <v>132</v>
      </c>
      <c r="C81" s="5"/>
      <c r="D81" s="36"/>
      <c r="E81" s="52">
        <f>'1n'!E79</f>
        <v>66.14</v>
      </c>
      <c r="F81" s="52">
        <f>'1n'!F79</f>
        <v>70</v>
      </c>
      <c r="G81" s="52">
        <f>'1n'!G79</f>
        <v>70</v>
      </c>
      <c r="H81" s="52">
        <f>'1n'!H79</f>
        <v>75</v>
      </c>
      <c r="I81" s="6"/>
      <c r="J81" s="6"/>
      <c r="K81" s="6"/>
      <c r="L81" s="6"/>
    </row>
    <row r="82" spans="1:12" s="7" customFormat="1" x14ac:dyDescent="0.25">
      <c r="A82" s="5"/>
      <c r="B82" s="5"/>
      <c r="C82" s="5"/>
      <c r="D82" s="36"/>
      <c r="E82" s="36"/>
      <c r="F82" s="36"/>
      <c r="G82" s="36"/>
      <c r="H82" s="29"/>
      <c r="I82" s="6"/>
      <c r="J82" s="6"/>
      <c r="K82" s="6"/>
      <c r="L82" s="6"/>
    </row>
    <row r="83" spans="1:12" s="7" customFormat="1" x14ac:dyDescent="0.25">
      <c r="A83" s="5"/>
      <c r="B83" s="94" t="s">
        <v>225</v>
      </c>
      <c r="C83" s="94"/>
      <c r="D83" s="52"/>
      <c r="E83" s="52">
        <f>E84*E124</f>
        <v>0</v>
      </c>
      <c r="F83" s="52">
        <f>F84*F124</f>
        <v>0</v>
      </c>
      <c r="G83" s="52">
        <f>G84*G124</f>
        <v>9282</v>
      </c>
      <c r="H83" s="52">
        <f>H84*H124</f>
        <v>19890</v>
      </c>
      <c r="I83" s="6"/>
      <c r="J83" s="6"/>
      <c r="K83" s="6"/>
      <c r="L83" s="6"/>
    </row>
    <row r="84" spans="1:12" s="7" customFormat="1" x14ac:dyDescent="0.25">
      <c r="A84" s="5"/>
      <c r="B84" s="99" t="s">
        <v>330</v>
      </c>
      <c r="C84" s="94"/>
      <c r="D84" s="52"/>
      <c r="E84" s="52">
        <f>E81*E85</f>
        <v>1461.6940000000002</v>
      </c>
      <c r="F84" s="52">
        <f>F81*F85</f>
        <v>1547</v>
      </c>
      <c r="G84" s="52">
        <f>G81*G85</f>
        <v>1547</v>
      </c>
      <c r="H84" s="52">
        <f>H81*H85</f>
        <v>1657.5</v>
      </c>
      <c r="I84" s="6"/>
      <c r="J84" s="6"/>
      <c r="K84" s="6"/>
      <c r="L84" s="6"/>
    </row>
    <row r="85" spans="1:12" s="7" customFormat="1" x14ac:dyDescent="0.25">
      <c r="A85" s="5"/>
      <c r="B85" s="106" t="s">
        <v>228</v>
      </c>
      <c r="C85" s="94"/>
      <c r="D85" s="52"/>
      <c r="E85" s="52">
        <f>E90</f>
        <v>22.1</v>
      </c>
      <c r="F85" s="52">
        <f t="shared" ref="F85:H85" si="42">F90</f>
        <v>22.1</v>
      </c>
      <c r="G85" s="52">
        <f t="shared" si="42"/>
        <v>22.1</v>
      </c>
      <c r="H85" s="52">
        <f t="shared" si="42"/>
        <v>22.1</v>
      </c>
      <c r="I85" s="6"/>
      <c r="J85" s="6"/>
      <c r="K85" s="6"/>
      <c r="L85" s="6"/>
    </row>
    <row r="86" spans="1:12" s="7" customFormat="1" x14ac:dyDescent="0.25">
      <c r="A86" s="5"/>
      <c r="B86" s="105"/>
      <c r="C86" s="5"/>
      <c r="D86" s="36"/>
      <c r="E86" s="36"/>
      <c r="F86" s="36"/>
      <c r="G86" s="36"/>
      <c r="H86" s="36"/>
      <c r="I86" s="6"/>
      <c r="J86" s="6"/>
      <c r="K86" s="6"/>
      <c r="L86" s="6"/>
    </row>
    <row r="87" spans="1:12" s="7" customFormat="1" x14ac:dyDescent="0.25">
      <c r="A87" s="5"/>
      <c r="B87" s="94" t="s">
        <v>320</v>
      </c>
      <c r="C87" s="5"/>
      <c r="D87" s="36"/>
      <c r="E87" s="52">
        <f>(E88*E89+E92*E93)*E124</f>
        <v>0</v>
      </c>
      <c r="F87" s="52">
        <f>(F88*F89+F92*F93)*F124</f>
        <v>0</v>
      </c>
      <c r="G87" s="52">
        <f>(G88*G89+G92*G93)*G124</f>
        <v>57456</v>
      </c>
      <c r="H87" s="52">
        <f>(H88*H89+H92*H93)*H124</f>
        <v>369360</v>
      </c>
      <c r="I87" s="6"/>
      <c r="J87" s="6"/>
      <c r="K87" s="6"/>
      <c r="L87" s="6"/>
    </row>
    <row r="88" spans="1:12" s="7" customFormat="1" x14ac:dyDescent="0.25">
      <c r="A88" s="9"/>
      <c r="B88" s="99" t="s">
        <v>321</v>
      </c>
      <c r="C88" s="9"/>
      <c r="D88" s="36"/>
      <c r="E88" s="52">
        <v>0</v>
      </c>
      <c r="F88" s="52">
        <v>0</v>
      </c>
      <c r="G88" s="52">
        <v>4</v>
      </c>
      <c r="H88" s="52">
        <v>12</v>
      </c>
      <c r="I88" s="6"/>
      <c r="J88" s="6"/>
      <c r="K88" s="6"/>
      <c r="L88" s="6"/>
    </row>
    <row r="89" spans="1:12" s="7" customFormat="1" x14ac:dyDescent="0.25">
      <c r="A89" s="9"/>
      <c r="B89" s="99" t="s">
        <v>322</v>
      </c>
      <c r="C89" s="9"/>
      <c r="D89" s="36"/>
      <c r="E89" s="52">
        <f>E90*E81</f>
        <v>1461.6940000000002</v>
      </c>
      <c r="F89" s="52">
        <f>F90*F81</f>
        <v>1547</v>
      </c>
      <c r="G89" s="52">
        <f>G90*G81</f>
        <v>1547</v>
      </c>
      <c r="H89" s="52">
        <f>H90*H81</f>
        <v>1657.5</v>
      </c>
      <c r="I89" s="6"/>
      <c r="J89" s="6"/>
      <c r="K89" s="6"/>
      <c r="L89" s="6"/>
    </row>
    <row r="90" spans="1:12" s="7" customFormat="1" x14ac:dyDescent="0.25">
      <c r="A90" s="9"/>
      <c r="B90" s="79" t="s">
        <v>228</v>
      </c>
      <c r="C90" s="9"/>
      <c r="D90" s="36"/>
      <c r="E90" s="52">
        <v>22.1</v>
      </c>
      <c r="F90" s="52">
        <v>22.1</v>
      </c>
      <c r="G90" s="52">
        <v>22.1</v>
      </c>
      <c r="H90" s="52">
        <v>22.1</v>
      </c>
      <c r="I90" s="6"/>
      <c r="J90" s="6"/>
      <c r="K90" s="6"/>
      <c r="L90" s="6"/>
    </row>
    <row r="91" spans="1:12" s="7" customFormat="1" x14ac:dyDescent="0.25">
      <c r="A91" s="9"/>
      <c r="B91" s="106"/>
      <c r="C91" s="9"/>
      <c r="D91" s="36"/>
      <c r="E91" s="52"/>
      <c r="F91" s="52"/>
      <c r="G91" s="44"/>
      <c r="H91" s="44"/>
      <c r="I91" s="6"/>
      <c r="J91" s="6"/>
      <c r="K91" s="6"/>
      <c r="L91" s="6"/>
    </row>
    <row r="92" spans="1:12" s="7" customFormat="1" x14ac:dyDescent="0.25">
      <c r="A92" s="9"/>
      <c r="B92" s="106" t="s">
        <v>329</v>
      </c>
      <c r="C92" s="9"/>
      <c r="D92" s="36"/>
      <c r="E92" s="52">
        <v>0</v>
      </c>
      <c r="F92" s="52">
        <v>0</v>
      </c>
      <c r="G92" s="52">
        <v>4</v>
      </c>
      <c r="H92" s="52">
        <v>12</v>
      </c>
      <c r="I92" s="6"/>
      <c r="J92" s="6"/>
      <c r="K92" s="6"/>
      <c r="L92" s="6"/>
    </row>
    <row r="93" spans="1:12" s="7" customFormat="1" x14ac:dyDescent="0.25">
      <c r="A93" s="9"/>
      <c r="B93" s="99" t="s">
        <v>323</v>
      </c>
      <c r="C93" s="9"/>
      <c r="D93" s="36"/>
      <c r="E93" s="52">
        <f>E81*(E94-E95)</f>
        <v>800.2940000000001</v>
      </c>
      <c r="F93" s="52">
        <f>F81*(F94-F95)</f>
        <v>847.00000000000011</v>
      </c>
      <c r="G93" s="52">
        <f>G81*(G94-G95)</f>
        <v>847.00000000000011</v>
      </c>
      <c r="H93" s="52">
        <f>H81*(H94-H95)</f>
        <v>907.50000000000011</v>
      </c>
      <c r="I93" s="6"/>
      <c r="J93" s="6"/>
      <c r="K93" s="6"/>
      <c r="L93" s="6"/>
    </row>
    <row r="94" spans="1:12" s="7" customFormat="1" x14ac:dyDescent="0.25">
      <c r="A94" s="9"/>
      <c r="B94" s="79" t="s">
        <v>325</v>
      </c>
      <c r="C94" s="9"/>
      <c r="D94" s="36"/>
      <c r="E94" s="52">
        <f>E90</f>
        <v>22.1</v>
      </c>
      <c r="F94" s="52">
        <f t="shared" ref="F94:H94" si="43">F90</f>
        <v>22.1</v>
      </c>
      <c r="G94" s="52">
        <f t="shared" si="43"/>
        <v>22.1</v>
      </c>
      <c r="H94" s="52">
        <f t="shared" si="43"/>
        <v>22.1</v>
      </c>
      <c r="I94" s="6"/>
      <c r="J94" s="6"/>
      <c r="K94" s="6"/>
      <c r="L94" s="6"/>
    </row>
    <row r="95" spans="1:12" s="7" customFormat="1" x14ac:dyDescent="0.25">
      <c r="A95" s="9"/>
      <c r="B95" s="79" t="s">
        <v>324</v>
      </c>
      <c r="C95" s="9"/>
      <c r="D95" s="36"/>
      <c r="E95" s="52">
        <v>10</v>
      </c>
      <c r="F95" s="52">
        <v>10</v>
      </c>
      <c r="G95" s="52">
        <v>10</v>
      </c>
      <c r="H95" s="52">
        <v>10</v>
      </c>
      <c r="I95" s="6"/>
      <c r="J95" s="6"/>
      <c r="K95" s="6"/>
      <c r="L95" s="6"/>
    </row>
    <row r="96" spans="1:12" s="7" customFormat="1" x14ac:dyDescent="0.25">
      <c r="A96" s="9"/>
      <c r="B96" s="106"/>
      <c r="C96" s="9"/>
      <c r="D96" s="36"/>
      <c r="E96" s="36"/>
      <c r="F96" s="36"/>
      <c r="G96" s="29"/>
      <c r="H96" s="29"/>
      <c r="I96" s="6"/>
      <c r="J96" s="6"/>
      <c r="K96" s="6"/>
      <c r="L96" s="6"/>
    </row>
    <row r="97" spans="1:12" s="7" customFormat="1" hidden="1" x14ac:dyDescent="0.25">
      <c r="A97" s="9"/>
      <c r="B97" s="106"/>
      <c r="C97" s="9"/>
      <c r="D97" s="36"/>
      <c r="E97" s="37"/>
      <c r="F97" s="37"/>
      <c r="G97" s="37"/>
      <c r="H97" s="37"/>
      <c r="I97" s="6"/>
      <c r="J97" s="6"/>
      <c r="K97" s="6"/>
      <c r="L97" s="6"/>
    </row>
    <row r="98" spans="1:12" s="7" customFormat="1" x14ac:dyDescent="0.25">
      <c r="A98" s="9"/>
      <c r="B98" s="94" t="s">
        <v>326</v>
      </c>
      <c r="C98" s="9"/>
      <c r="D98" s="36"/>
      <c r="E98" s="52">
        <f>E99*E100*E124</f>
        <v>0</v>
      </c>
      <c r="F98" s="52">
        <f t="shared" ref="F98:H98" si="44">F99*F100*F124</f>
        <v>0</v>
      </c>
      <c r="G98" s="52">
        <f t="shared" si="44"/>
        <v>26880</v>
      </c>
      <c r="H98" s="52">
        <f t="shared" si="44"/>
        <v>180000</v>
      </c>
      <c r="I98" s="6"/>
      <c r="J98" s="6"/>
      <c r="K98" s="6"/>
      <c r="L98" s="6"/>
    </row>
    <row r="99" spans="1:12" s="7" customFormat="1" x14ac:dyDescent="0.25">
      <c r="A99" s="9"/>
      <c r="B99" s="9" t="s">
        <v>327</v>
      </c>
      <c r="C99" s="9"/>
      <c r="D99" s="36"/>
      <c r="E99" s="52">
        <f>E88+E92</f>
        <v>0</v>
      </c>
      <c r="F99" s="52">
        <f>F88+F92</f>
        <v>0</v>
      </c>
      <c r="G99" s="52">
        <f>G88+G92</f>
        <v>8</v>
      </c>
      <c r="H99" s="52">
        <v>25</v>
      </c>
      <c r="I99" s="6"/>
      <c r="J99" s="6"/>
      <c r="K99" s="6"/>
      <c r="L99" s="6"/>
    </row>
    <row r="100" spans="1:12" s="7" customFormat="1" x14ac:dyDescent="0.25">
      <c r="A100" s="9"/>
      <c r="B100" s="9" t="s">
        <v>39</v>
      </c>
      <c r="C100" s="9"/>
      <c r="D100" s="36"/>
      <c r="E100" s="52">
        <f>E81*E101</f>
        <v>529.12</v>
      </c>
      <c r="F100" s="52">
        <f>F81*F101</f>
        <v>560</v>
      </c>
      <c r="G100" s="52">
        <f>G81*G101</f>
        <v>560</v>
      </c>
      <c r="H100" s="52">
        <f>H81*H101</f>
        <v>600</v>
      </c>
      <c r="I100" s="6"/>
      <c r="J100" s="6"/>
      <c r="K100" s="6"/>
      <c r="L100" s="6"/>
    </row>
    <row r="101" spans="1:12" s="7" customFormat="1" x14ac:dyDescent="0.25">
      <c r="A101" s="9"/>
      <c r="B101" s="79" t="s">
        <v>228</v>
      </c>
      <c r="C101" s="9"/>
      <c r="D101" s="36"/>
      <c r="E101" s="52">
        <v>8</v>
      </c>
      <c r="F101" s="52">
        <v>8</v>
      </c>
      <c r="G101" s="52">
        <v>8</v>
      </c>
      <c r="H101" s="52">
        <v>8</v>
      </c>
      <c r="I101" s="6"/>
      <c r="J101" s="6"/>
      <c r="K101" s="6"/>
      <c r="L101" s="6"/>
    </row>
    <row r="102" spans="1:12" x14ac:dyDescent="0.25">
      <c r="E102" s="52"/>
      <c r="F102" s="52"/>
      <c r="G102" s="44"/>
      <c r="H102" s="44"/>
    </row>
    <row r="103" spans="1:12" s="7" customFormat="1" x14ac:dyDescent="0.25">
      <c r="A103" s="9"/>
      <c r="B103" s="7" t="s">
        <v>328</v>
      </c>
      <c r="C103" s="9"/>
      <c r="D103" s="36"/>
      <c r="E103" s="52">
        <f>E104*E105*E124</f>
        <v>0</v>
      </c>
      <c r="F103" s="52">
        <f t="shared" ref="F103:H103" si="45">F104*F105*F124</f>
        <v>0</v>
      </c>
      <c r="G103" s="52">
        <f t="shared" si="45"/>
        <v>16800</v>
      </c>
      <c r="H103" s="52">
        <f t="shared" si="45"/>
        <v>112500</v>
      </c>
      <c r="I103" s="6"/>
      <c r="J103" s="6"/>
      <c r="K103" s="6"/>
      <c r="L103" s="6"/>
    </row>
    <row r="104" spans="1:12" s="7" customFormat="1" x14ac:dyDescent="0.25">
      <c r="A104" s="9"/>
      <c r="B104" s="9" t="s">
        <v>327</v>
      </c>
      <c r="C104" s="9"/>
      <c r="D104" s="36"/>
      <c r="E104" s="52">
        <v>0</v>
      </c>
      <c r="F104" s="52">
        <v>0</v>
      </c>
      <c r="G104" s="52">
        <v>8</v>
      </c>
      <c r="H104" s="52">
        <v>25</v>
      </c>
      <c r="I104" s="6"/>
      <c r="J104" s="6"/>
      <c r="K104" s="6"/>
      <c r="L104" s="6"/>
    </row>
    <row r="105" spans="1:12" s="7" customFormat="1" x14ac:dyDescent="0.25">
      <c r="A105" s="9"/>
      <c r="B105" s="9" t="s">
        <v>39</v>
      </c>
      <c r="C105" s="9"/>
      <c r="D105" s="36"/>
      <c r="E105" s="52">
        <f>E81*E106</f>
        <v>330.7</v>
      </c>
      <c r="F105" s="52">
        <f>F81*F106</f>
        <v>350</v>
      </c>
      <c r="G105" s="52">
        <f>G81*G106</f>
        <v>350</v>
      </c>
      <c r="H105" s="52">
        <f>H81*H106</f>
        <v>375</v>
      </c>
      <c r="I105" s="6"/>
      <c r="J105" s="6"/>
      <c r="K105" s="6"/>
      <c r="L105" s="6"/>
    </row>
    <row r="106" spans="1:12" s="7" customFormat="1" x14ac:dyDescent="0.25">
      <c r="A106" s="9"/>
      <c r="B106" s="79" t="s">
        <v>228</v>
      </c>
      <c r="C106" s="9"/>
      <c r="D106" s="36"/>
      <c r="E106" s="52">
        <v>5</v>
      </c>
      <c r="F106" s="52">
        <v>5</v>
      </c>
      <c r="G106" s="52">
        <v>5</v>
      </c>
      <c r="H106" s="52">
        <v>5</v>
      </c>
      <c r="I106" s="6"/>
      <c r="J106" s="6"/>
      <c r="K106" s="6"/>
      <c r="L106" s="6"/>
    </row>
    <row r="107" spans="1:12" s="7" customFormat="1" x14ac:dyDescent="0.25">
      <c r="A107" s="9"/>
      <c r="B107" s="106"/>
      <c r="C107" s="9"/>
      <c r="D107" s="36"/>
      <c r="E107" s="37"/>
      <c r="F107" s="37"/>
      <c r="G107" s="37"/>
      <c r="H107" s="37"/>
      <c r="I107" s="6"/>
      <c r="J107" s="6"/>
      <c r="K107" s="6"/>
      <c r="L107" s="6"/>
    </row>
    <row r="108" spans="1:12" s="7" customFormat="1" x14ac:dyDescent="0.25">
      <c r="A108" s="5"/>
      <c r="B108" s="94" t="s">
        <v>297</v>
      </c>
      <c r="C108" s="5"/>
      <c r="D108" s="36"/>
      <c r="E108" s="52">
        <f>E109*E110*E124</f>
        <v>0</v>
      </c>
      <c r="F108" s="52">
        <f t="shared" ref="F108:H108" si="46">F109*F110*F124</f>
        <v>0</v>
      </c>
      <c r="G108" s="52">
        <f t="shared" si="46"/>
        <v>13440</v>
      </c>
      <c r="H108" s="52">
        <f t="shared" si="46"/>
        <v>90000</v>
      </c>
      <c r="I108" s="6"/>
      <c r="J108" s="6"/>
      <c r="K108" s="6"/>
      <c r="L108" s="6"/>
    </row>
    <row r="109" spans="1:12" s="7" customFormat="1" x14ac:dyDescent="0.25">
      <c r="A109" s="9"/>
      <c r="B109" s="9" t="s">
        <v>230</v>
      </c>
      <c r="C109" s="9"/>
      <c r="D109" s="36"/>
      <c r="E109" s="52">
        <v>0</v>
      </c>
      <c r="F109" s="52">
        <v>0</v>
      </c>
      <c r="G109" s="52">
        <v>8</v>
      </c>
      <c r="H109" s="52">
        <v>25</v>
      </c>
      <c r="I109" s="6"/>
      <c r="J109" s="6"/>
      <c r="K109" s="6"/>
      <c r="L109" s="6"/>
    </row>
    <row r="110" spans="1:12" s="7" customFormat="1" x14ac:dyDescent="0.25">
      <c r="A110" s="9"/>
      <c r="B110" s="9" t="s">
        <v>231</v>
      </c>
      <c r="C110" s="9"/>
      <c r="D110" s="36"/>
      <c r="E110" s="52">
        <f>E111*E81</f>
        <v>264.56</v>
      </c>
      <c r="F110" s="52">
        <f>F111*F81</f>
        <v>280</v>
      </c>
      <c r="G110" s="52">
        <f>G111*G81</f>
        <v>280</v>
      </c>
      <c r="H110" s="52">
        <f>H111*H81</f>
        <v>300</v>
      </c>
      <c r="I110" s="6"/>
      <c r="J110" s="6"/>
      <c r="K110" s="6"/>
      <c r="L110" s="6"/>
    </row>
    <row r="111" spans="1:12" ht="13.5" customHeight="1" x14ac:dyDescent="0.25">
      <c r="B111" s="79" t="s">
        <v>228</v>
      </c>
      <c r="E111" s="52">
        <v>4</v>
      </c>
      <c r="F111" s="52">
        <v>4</v>
      </c>
      <c r="G111" s="52">
        <v>4</v>
      </c>
      <c r="H111" s="52">
        <v>4</v>
      </c>
    </row>
    <row r="112" spans="1:12" ht="13.5" customHeight="1" x14ac:dyDescent="0.25">
      <c r="B112" s="79"/>
      <c r="G112" s="36"/>
      <c r="H112" s="36"/>
    </row>
    <row r="113" spans="1:12" ht="13.5" customHeight="1" x14ac:dyDescent="0.25">
      <c r="B113" s="94" t="s">
        <v>331</v>
      </c>
      <c r="E113" s="52">
        <f>E114*E115*E124</f>
        <v>0</v>
      </c>
      <c r="F113" s="52">
        <f t="shared" ref="F113:H113" si="47">F114*F115*F124</f>
        <v>0</v>
      </c>
      <c r="G113" s="52">
        <f t="shared" si="47"/>
        <v>25200</v>
      </c>
      <c r="H113" s="52">
        <f t="shared" si="47"/>
        <v>81000</v>
      </c>
    </row>
    <row r="114" spans="1:12" ht="13.5" customHeight="1" x14ac:dyDescent="0.25">
      <c r="B114" s="9" t="s">
        <v>332</v>
      </c>
      <c r="E114" s="52">
        <v>0</v>
      </c>
      <c r="F114" s="52">
        <v>0</v>
      </c>
      <c r="G114" s="52">
        <v>10</v>
      </c>
      <c r="H114" s="52">
        <v>15</v>
      </c>
    </row>
    <row r="115" spans="1:12" ht="13.5" customHeight="1" x14ac:dyDescent="0.25">
      <c r="B115" s="9" t="s">
        <v>39</v>
      </c>
      <c r="E115" s="52">
        <f>E116*E81</f>
        <v>396.84000000000003</v>
      </c>
      <c r="F115" s="52">
        <f>F116*F81</f>
        <v>420</v>
      </c>
      <c r="G115" s="52">
        <f>G116*G81</f>
        <v>420</v>
      </c>
      <c r="H115" s="52">
        <f>H116*H81</f>
        <v>450</v>
      </c>
    </row>
    <row r="116" spans="1:12" ht="13.5" customHeight="1" x14ac:dyDescent="0.25">
      <c r="B116" s="79" t="s">
        <v>228</v>
      </c>
      <c r="E116" s="52">
        <v>6</v>
      </c>
      <c r="F116" s="52">
        <v>6</v>
      </c>
      <c r="G116" s="52">
        <v>6</v>
      </c>
      <c r="H116" s="52">
        <v>6</v>
      </c>
    </row>
    <row r="117" spans="1:12" ht="13.5" customHeight="1" x14ac:dyDescent="0.25">
      <c r="B117" s="79"/>
      <c r="G117" s="36"/>
      <c r="H117" s="36"/>
    </row>
    <row r="118" spans="1:12" ht="13.5" customHeight="1" x14ac:dyDescent="0.25">
      <c r="B118" s="5" t="s">
        <v>4</v>
      </c>
      <c r="E118" s="52">
        <f>E119*E120*E124</f>
        <v>0</v>
      </c>
      <c r="F118" s="52">
        <f t="shared" ref="F118:H118" si="48">F119*F120*F124</f>
        <v>0</v>
      </c>
      <c r="G118" s="52">
        <f t="shared" si="48"/>
        <v>7350</v>
      </c>
      <c r="H118" s="52">
        <f t="shared" si="48"/>
        <v>22500</v>
      </c>
    </row>
    <row r="119" spans="1:12" s="7" customFormat="1" x14ac:dyDescent="0.25">
      <c r="A119" s="9"/>
      <c r="B119" s="9" t="s">
        <v>48</v>
      </c>
      <c r="C119" s="9"/>
      <c r="D119" s="36"/>
      <c r="E119" s="52">
        <v>0</v>
      </c>
      <c r="F119" s="52">
        <v>0</v>
      </c>
      <c r="G119" s="52">
        <v>7</v>
      </c>
      <c r="H119" s="52">
        <v>10</v>
      </c>
      <c r="I119" s="6"/>
      <c r="J119" s="6"/>
      <c r="K119" s="6"/>
      <c r="L119" s="6"/>
    </row>
    <row r="120" spans="1:12" s="7" customFormat="1" x14ac:dyDescent="0.25">
      <c r="A120" s="9"/>
      <c r="B120" s="9" t="s">
        <v>49</v>
      </c>
      <c r="C120" s="9"/>
      <c r="D120" s="36"/>
      <c r="E120" s="52">
        <f>E121*E81</f>
        <v>165.35</v>
      </c>
      <c r="F120" s="52">
        <f>F121*F81</f>
        <v>175</v>
      </c>
      <c r="G120" s="52">
        <f>G121*G81</f>
        <v>175</v>
      </c>
      <c r="H120" s="52">
        <f>H121*H81</f>
        <v>187.5</v>
      </c>
      <c r="I120" s="6"/>
      <c r="J120" s="6"/>
      <c r="K120" s="6"/>
      <c r="L120" s="6"/>
    </row>
    <row r="121" spans="1:12" ht="13.5" customHeight="1" x14ac:dyDescent="0.25">
      <c r="B121" s="79" t="s">
        <v>228</v>
      </c>
      <c r="E121" s="52">
        <v>2.5</v>
      </c>
      <c r="F121" s="52">
        <v>2.5</v>
      </c>
      <c r="G121" s="52">
        <v>2.5</v>
      </c>
      <c r="H121" s="52">
        <v>2.5</v>
      </c>
    </row>
    <row r="122" spans="1:12" ht="13.5" customHeight="1" x14ac:dyDescent="0.25">
      <c r="B122" s="79"/>
      <c r="G122" s="36"/>
      <c r="H122" s="36"/>
    </row>
    <row r="123" spans="1:12" ht="15.75" customHeight="1" x14ac:dyDescent="0.25">
      <c r="B123" s="79" t="s">
        <v>57</v>
      </c>
      <c r="E123" s="52">
        <f>E88+E92+E99+E104+E109+E114+E119</f>
        <v>0</v>
      </c>
      <c r="F123" s="52">
        <f>F88+F92+F99+F104+F109+F114+F119</f>
        <v>0</v>
      </c>
      <c r="G123" s="52">
        <f t="shared" ref="G123:H123" si="49">1+G88+G92+G99+G104+G109+G114+G119</f>
        <v>50</v>
      </c>
      <c r="H123" s="52">
        <f t="shared" si="49"/>
        <v>125</v>
      </c>
    </row>
    <row r="124" spans="1:12" s="7" customFormat="1" x14ac:dyDescent="0.25">
      <c r="A124" s="9"/>
      <c r="B124" s="9" t="s">
        <v>40</v>
      </c>
      <c r="C124" s="9"/>
      <c r="D124" s="36"/>
      <c r="E124" s="54">
        <v>0</v>
      </c>
      <c r="F124" s="52">
        <v>0</v>
      </c>
      <c r="G124" s="52">
        <v>6</v>
      </c>
      <c r="H124" s="52">
        <v>12</v>
      </c>
      <c r="I124" s="6"/>
      <c r="J124" s="6"/>
      <c r="K124" s="6"/>
      <c r="L124" s="6"/>
    </row>
    <row r="125" spans="1:12" s="7" customFormat="1" hidden="1" x14ac:dyDescent="0.25">
      <c r="A125" s="9"/>
      <c r="B125" s="9"/>
      <c r="C125" s="9"/>
      <c r="D125" s="36"/>
      <c r="E125" s="39"/>
      <c r="F125" s="36"/>
      <c r="G125" s="36"/>
      <c r="H125" s="36"/>
      <c r="I125" s="6"/>
      <c r="J125" s="6"/>
      <c r="K125" s="6"/>
      <c r="L125" s="6"/>
    </row>
    <row r="127" spans="1:12" x14ac:dyDescent="0.25">
      <c r="A127" s="58"/>
      <c r="B127" s="58" t="s">
        <v>10</v>
      </c>
      <c r="C127" s="58"/>
      <c r="D127" s="59"/>
      <c r="E127" s="60">
        <f>E128*E129+E131*E132</f>
        <v>0</v>
      </c>
      <c r="F127" s="60">
        <f t="shared" ref="F127:H127" si="50">F128*F129+F131*F132</f>
        <v>0</v>
      </c>
      <c r="G127" s="60">
        <f t="shared" si="50"/>
        <v>1823.3222366666669</v>
      </c>
      <c r="H127" s="60">
        <f t="shared" si="50"/>
        <v>1823.3222366666669</v>
      </c>
    </row>
    <row r="128" spans="1:12" s="7" customFormat="1" x14ac:dyDescent="0.25">
      <c r="A128" s="5"/>
      <c r="B128" s="9" t="s">
        <v>50</v>
      </c>
      <c r="C128" s="5"/>
      <c r="D128" s="36"/>
      <c r="E128" s="52">
        <v>0</v>
      </c>
      <c r="F128" s="52">
        <v>0</v>
      </c>
      <c r="G128" s="52">
        <v>2</v>
      </c>
      <c r="H128" s="52">
        <v>2</v>
      </c>
      <c r="I128" s="6"/>
      <c r="J128" s="6"/>
      <c r="K128" s="6"/>
      <c r="L128" s="6"/>
    </row>
    <row r="129" spans="1:12" s="7" customFormat="1" x14ac:dyDescent="0.25">
      <c r="A129" s="5"/>
      <c r="B129" s="9" t="s">
        <v>51</v>
      </c>
      <c r="C129" s="5"/>
      <c r="D129" s="36"/>
      <c r="E129" s="52">
        <v>0</v>
      </c>
      <c r="F129" s="52">
        <f>Trips!$B$10</f>
        <v>911.66111833333343</v>
      </c>
      <c r="G129" s="52">
        <f>Trips!$B$10</f>
        <v>911.66111833333343</v>
      </c>
      <c r="H129" s="52">
        <f>Trips!$B$10</f>
        <v>911.66111833333343</v>
      </c>
      <c r="I129" s="6"/>
      <c r="J129" s="6"/>
      <c r="K129" s="6"/>
      <c r="L129" s="6"/>
    </row>
    <row r="130" spans="1:12" hidden="1" x14ac:dyDescent="0.25">
      <c r="E130" s="52"/>
      <c r="F130" s="52"/>
      <c r="G130" s="44"/>
      <c r="H130" s="44"/>
    </row>
    <row r="131" spans="1:12" s="7" customFormat="1" hidden="1" x14ac:dyDescent="0.25">
      <c r="A131" s="5"/>
      <c r="B131" s="9" t="s">
        <v>52</v>
      </c>
      <c r="C131" s="5"/>
      <c r="D131" s="36"/>
      <c r="E131" s="52">
        <v>0</v>
      </c>
      <c r="F131" s="52">
        <v>0</v>
      </c>
      <c r="G131" s="52">
        <v>0</v>
      </c>
      <c r="H131" s="52">
        <v>0</v>
      </c>
      <c r="I131" s="6"/>
      <c r="J131" s="6"/>
      <c r="K131" s="6"/>
      <c r="L131" s="6"/>
    </row>
    <row r="132" spans="1:12" s="7" customFormat="1" hidden="1" x14ac:dyDescent="0.25">
      <c r="A132" s="5"/>
      <c r="B132" s="9" t="s">
        <v>53</v>
      </c>
      <c r="C132" s="5"/>
      <c r="D132" s="36"/>
      <c r="E132" s="52">
        <f>Trips!$B$5</f>
        <v>52</v>
      </c>
      <c r="F132" s="52">
        <f>Trips!$B$5</f>
        <v>52</v>
      </c>
      <c r="G132" s="52">
        <f>Trips!$B$5</f>
        <v>52</v>
      </c>
      <c r="H132" s="52">
        <f>Trips!$B$5</f>
        <v>52</v>
      </c>
      <c r="I132" s="6"/>
      <c r="J132" s="6"/>
      <c r="K132" s="6"/>
      <c r="L132" s="6"/>
    </row>
    <row r="133" spans="1:12" hidden="1" x14ac:dyDescent="0.25">
      <c r="E133" s="52"/>
      <c r="F133" s="52"/>
      <c r="G133" s="44"/>
      <c r="H133" s="44"/>
    </row>
    <row r="134" spans="1:12" x14ac:dyDescent="0.25">
      <c r="E134" s="52"/>
      <c r="F134" s="52"/>
      <c r="G134" s="44"/>
      <c r="H134" s="44"/>
    </row>
    <row r="135" spans="1:12" x14ac:dyDescent="0.25">
      <c r="A135" s="58"/>
      <c r="B135" s="58" t="s">
        <v>192</v>
      </c>
      <c r="C135" s="58"/>
      <c r="D135" s="59"/>
      <c r="E135" s="60">
        <f>E136*E137</f>
        <v>712.48985000000005</v>
      </c>
      <c r="F135" s="60">
        <f t="shared" ref="F135:H135" si="51">F136*F137</f>
        <v>1486.2538271000001</v>
      </c>
      <c r="G135" s="60">
        <f t="shared" si="51"/>
        <v>0</v>
      </c>
      <c r="H135" s="60">
        <f t="shared" si="51"/>
        <v>0</v>
      </c>
    </row>
    <row r="136" spans="1:12" s="7" customFormat="1" x14ac:dyDescent="0.25">
      <c r="A136" s="10"/>
      <c r="B136" s="45" t="s">
        <v>162</v>
      </c>
      <c r="C136" s="10" t="s">
        <v>163</v>
      </c>
      <c r="D136" s="36"/>
      <c r="E136" s="52">
        <v>1</v>
      </c>
      <c r="F136" s="52">
        <v>2</v>
      </c>
      <c r="G136" s="52">
        <v>0</v>
      </c>
      <c r="H136" s="52">
        <v>0</v>
      </c>
      <c r="I136" s="6"/>
      <c r="J136" s="6"/>
      <c r="K136" s="6"/>
      <c r="L136" s="6"/>
    </row>
    <row r="137" spans="1:12" s="7" customFormat="1" x14ac:dyDescent="0.25">
      <c r="A137" s="5"/>
      <c r="B137" s="45" t="s">
        <v>159</v>
      </c>
      <c r="C137" s="5"/>
      <c r="D137" s="36"/>
      <c r="E137" s="52">
        <f>Trips!B29</f>
        <v>712.48985000000005</v>
      </c>
      <c r="F137" s="52">
        <f>E137*(1+index)</f>
        <v>743.12691355000004</v>
      </c>
      <c r="G137" s="52">
        <f>F137*(1+index)</f>
        <v>775.08137083265001</v>
      </c>
      <c r="H137" s="52">
        <f>G137*(1+index)</f>
        <v>808.40986977845387</v>
      </c>
      <c r="I137" s="6"/>
      <c r="J137" s="6"/>
      <c r="K137" s="6"/>
      <c r="L137" s="6"/>
    </row>
    <row r="138" spans="1:12" s="7" customFormat="1" x14ac:dyDescent="0.25">
      <c r="A138" s="5"/>
      <c r="B138" s="5" t="s">
        <v>73</v>
      </c>
      <c r="C138" s="110"/>
      <c r="D138" s="36"/>
      <c r="E138" s="54">
        <f>'Rates and GI'!$E$27*(E127+E140+E189+E198+E211)</f>
        <v>0</v>
      </c>
      <c r="F138" s="54">
        <f>'Rates and GI'!$E$27*0*(F127+F140+F189+F198+F211)</f>
        <v>0</v>
      </c>
      <c r="G138" s="54">
        <f>'Rates and GI'!$E$27*(G127+G140+G189+G198+G211)</f>
        <v>1000.7464111833334</v>
      </c>
      <c r="H138" s="54">
        <f>'Rates and GI'!$E$27*(H127+H140+H189+H198+H211)</f>
        <v>1002.2668111833334</v>
      </c>
      <c r="I138" s="6"/>
      <c r="J138" s="6"/>
      <c r="K138" s="6"/>
      <c r="L138" s="6"/>
    </row>
    <row r="140" spans="1:12" x14ac:dyDescent="0.25">
      <c r="A140" s="58"/>
      <c r="B140" s="58" t="s">
        <v>148</v>
      </c>
      <c r="C140" s="58"/>
      <c r="D140" s="59"/>
      <c r="E140" s="60">
        <f>E141*E142+E143*E144+E145*E146</f>
        <v>0</v>
      </c>
      <c r="F140" s="60">
        <f t="shared" ref="F140:H140" si="52">F141*F142+F143*F144+F145*F146</f>
        <v>0</v>
      </c>
      <c r="G140" s="60">
        <f t="shared" si="52"/>
        <v>390.96</v>
      </c>
      <c r="H140" s="60">
        <f t="shared" si="52"/>
        <v>695.04</v>
      </c>
    </row>
    <row r="141" spans="1:12" hidden="1" x14ac:dyDescent="0.25">
      <c r="B141" s="45" t="s">
        <v>149</v>
      </c>
      <c r="C141" s="5" t="s">
        <v>150</v>
      </c>
      <c r="E141" s="52"/>
      <c r="F141" s="52">
        <f>Training!$C$31</f>
        <v>81.741000000000014</v>
      </c>
      <c r="G141" s="52">
        <f>Training!$C$31</f>
        <v>81.741000000000014</v>
      </c>
      <c r="H141" s="52">
        <f>Training!$C$31</f>
        <v>81.741000000000014</v>
      </c>
    </row>
    <row r="142" spans="1:12" hidden="1" x14ac:dyDescent="0.25">
      <c r="B142" s="45" t="s">
        <v>151</v>
      </c>
      <c r="E142" s="52"/>
      <c r="F142" s="52">
        <v>0</v>
      </c>
      <c r="G142" s="52">
        <v>0</v>
      </c>
      <c r="H142" s="52">
        <v>0</v>
      </c>
    </row>
    <row r="143" spans="1:12" hidden="1" x14ac:dyDescent="0.25">
      <c r="B143" s="45" t="s">
        <v>152</v>
      </c>
      <c r="E143" s="52"/>
      <c r="F143" s="52">
        <f>Training!C$22</f>
        <v>709.375</v>
      </c>
      <c r="G143" s="52">
        <f>F143*(1+index)</f>
        <v>739.87812499999995</v>
      </c>
      <c r="H143" s="52">
        <f>G143*(1+index)</f>
        <v>771.69288437499995</v>
      </c>
      <c r="I143" s="70"/>
    </row>
    <row r="144" spans="1:12" hidden="1" x14ac:dyDescent="0.25">
      <c r="B144" s="45" t="s">
        <v>153</v>
      </c>
      <c r="E144" s="52">
        <v>0</v>
      </c>
      <c r="F144" s="52">
        <v>0</v>
      </c>
      <c r="G144" s="52">
        <v>0</v>
      </c>
      <c r="H144" s="52">
        <v>0</v>
      </c>
      <c r="I144" s="70"/>
    </row>
    <row r="145" spans="1:12" x14ac:dyDescent="0.25">
      <c r="B145" s="45" t="s">
        <v>272</v>
      </c>
      <c r="C145" s="5" t="s">
        <v>155</v>
      </c>
      <c r="E145" s="52">
        <f>Training!$C$36</f>
        <v>43.44</v>
      </c>
      <c r="F145" s="52">
        <f>Training!$C$36</f>
        <v>43.44</v>
      </c>
      <c r="G145" s="52">
        <f>Training!$C$36</f>
        <v>43.44</v>
      </c>
      <c r="H145" s="52">
        <f>Training!$C$36</f>
        <v>43.44</v>
      </c>
      <c r="I145" s="70"/>
    </row>
    <row r="146" spans="1:12" x14ac:dyDescent="0.25">
      <c r="B146" s="45" t="s">
        <v>151</v>
      </c>
      <c r="E146" s="52">
        <v>0</v>
      </c>
      <c r="F146" s="52">
        <v>0</v>
      </c>
      <c r="G146" s="52">
        <v>9</v>
      </c>
      <c r="H146" s="52">
        <f>1+H88+H92-E146-F146-G146</f>
        <v>16</v>
      </c>
      <c r="I146" s="70"/>
    </row>
    <row r="147" spans="1:12" hidden="1" x14ac:dyDescent="0.25">
      <c r="B147" s="45"/>
      <c r="E147" s="52"/>
      <c r="F147" s="52"/>
      <c r="G147" s="52"/>
      <c r="H147" s="52"/>
    </row>
    <row r="148" spans="1:12" x14ac:dyDescent="0.25">
      <c r="B148" s="45"/>
      <c r="E148" s="52"/>
      <c r="F148" s="52"/>
      <c r="G148" s="44"/>
      <c r="H148" s="44"/>
    </row>
    <row r="149" spans="1:12" x14ac:dyDescent="0.25">
      <c r="A149" s="58"/>
      <c r="B149" s="58" t="s">
        <v>24</v>
      </c>
      <c r="C149" s="58"/>
      <c r="D149" s="59"/>
      <c r="E149" s="60">
        <f>E150*E151</f>
        <v>600</v>
      </c>
      <c r="F149" s="60">
        <f t="shared" ref="F149:H149" si="53">F150*F151</f>
        <v>938.69999999999982</v>
      </c>
      <c r="G149" s="60">
        <f t="shared" si="53"/>
        <v>0</v>
      </c>
      <c r="H149" s="60">
        <f t="shared" si="53"/>
        <v>0</v>
      </c>
    </row>
    <row r="150" spans="1:12" s="7" customFormat="1" x14ac:dyDescent="0.25">
      <c r="A150" s="5"/>
      <c r="B150" s="45" t="s">
        <v>54</v>
      </c>
      <c r="C150" s="5"/>
      <c r="D150" s="36"/>
      <c r="E150" s="52">
        <v>100</v>
      </c>
      <c r="F150" s="52">
        <v>150</v>
      </c>
      <c r="G150" s="52">
        <v>0</v>
      </c>
      <c r="H150" s="52">
        <v>0</v>
      </c>
      <c r="I150" s="6"/>
      <c r="J150" s="6"/>
      <c r="K150" s="6"/>
      <c r="L150" s="6"/>
    </row>
    <row r="151" spans="1:12" s="7" customFormat="1" x14ac:dyDescent="0.25">
      <c r="A151" s="5"/>
      <c r="B151" s="45" t="s">
        <v>55</v>
      </c>
      <c r="C151" s="5"/>
      <c r="D151" s="36"/>
      <c r="E151" s="52">
        <f>'Rates and GI'!D30</f>
        <v>6</v>
      </c>
      <c r="F151" s="52">
        <f>E151*(1+index)</f>
        <v>6.2579999999999991</v>
      </c>
      <c r="G151" s="52">
        <f>F151*(1+index)</f>
        <v>6.5270939999999991</v>
      </c>
      <c r="H151" s="52">
        <f>G151*(1+index)</f>
        <v>6.8077590419999989</v>
      </c>
      <c r="I151" s="6"/>
      <c r="J151" s="6"/>
      <c r="K151" s="6"/>
      <c r="L151" s="6"/>
    </row>
    <row r="153" spans="1:12" x14ac:dyDescent="0.25">
      <c r="A153" s="58"/>
      <c r="B153" s="58" t="s">
        <v>7</v>
      </c>
      <c r="C153" s="58"/>
      <c r="D153" s="59"/>
      <c r="E153" s="59"/>
      <c r="F153" s="59"/>
      <c r="G153" s="59"/>
      <c r="H153" s="59"/>
    </row>
    <row r="154" spans="1:12" s="7" customFormat="1" x14ac:dyDescent="0.25">
      <c r="A154" s="5"/>
      <c r="B154" s="4" t="s">
        <v>58</v>
      </c>
      <c r="C154" s="5"/>
      <c r="D154" s="36"/>
      <c r="F154" s="52">
        <f>F156*F157*F158*70%</f>
        <v>1929374.9999999998</v>
      </c>
      <c r="G154" s="52">
        <f>G156*G157*G158*30%</f>
        <v>826875</v>
      </c>
      <c r="H154" s="52">
        <f>H156*H157*H158*0%</f>
        <v>0</v>
      </c>
      <c r="I154" s="6"/>
      <c r="J154" s="6"/>
      <c r="K154" s="6"/>
      <c r="L154" s="6"/>
    </row>
    <row r="155" spans="1:12" s="7" customFormat="1" x14ac:dyDescent="0.25">
      <c r="A155" s="5"/>
      <c r="B155" s="47" t="s">
        <v>308</v>
      </c>
      <c r="C155" s="46" t="s">
        <v>56</v>
      </c>
      <c r="D155" s="36"/>
      <c r="F155" s="52">
        <f>F156*F157</f>
        <v>3937.5</v>
      </c>
      <c r="G155" s="44">
        <f>F155</f>
        <v>3937.5</v>
      </c>
      <c r="H155" s="44">
        <f>G155</f>
        <v>3937.5</v>
      </c>
      <c r="I155" s="6"/>
      <c r="J155" s="6"/>
      <c r="K155" s="6"/>
      <c r="L155" s="6"/>
    </row>
    <row r="156" spans="1:12" s="51" customFormat="1" x14ac:dyDescent="0.25">
      <c r="A156" s="46"/>
      <c r="B156" s="47" t="s">
        <v>59</v>
      </c>
      <c r="C156" s="46" t="s">
        <v>56</v>
      </c>
      <c r="D156" s="48"/>
      <c r="F156" s="52">
        <f>21*1.5</f>
        <v>31.5</v>
      </c>
      <c r="G156" s="44">
        <f t="shared" ref="G156:H158" si="54">F156</f>
        <v>31.5</v>
      </c>
      <c r="H156" s="44">
        <f t="shared" si="54"/>
        <v>31.5</v>
      </c>
      <c r="I156" s="50"/>
      <c r="J156" s="50"/>
      <c r="K156" s="50"/>
      <c r="L156" s="50"/>
    </row>
    <row r="157" spans="1:12" s="46" customFormat="1" x14ac:dyDescent="0.25">
      <c r="B157" s="47" t="s">
        <v>243</v>
      </c>
      <c r="D157" s="48"/>
      <c r="F157" s="52">
        <f>MAX(E123:H123)</f>
        <v>125</v>
      </c>
      <c r="G157" s="44">
        <f t="shared" si="54"/>
        <v>125</v>
      </c>
      <c r="H157" s="44">
        <f t="shared" si="54"/>
        <v>125</v>
      </c>
      <c r="I157" s="50"/>
      <c r="J157" s="50"/>
      <c r="K157" s="50"/>
      <c r="L157" s="50"/>
    </row>
    <row r="158" spans="1:12" s="46" customFormat="1" x14ac:dyDescent="0.25">
      <c r="B158" s="47" t="s">
        <v>60</v>
      </c>
      <c r="D158" s="48"/>
      <c r="F158" s="52">
        <v>700</v>
      </c>
      <c r="G158" s="44">
        <f t="shared" si="54"/>
        <v>700</v>
      </c>
      <c r="H158" s="44">
        <f t="shared" si="54"/>
        <v>700</v>
      </c>
      <c r="I158" s="50"/>
      <c r="J158" s="50"/>
      <c r="K158" s="50"/>
      <c r="L158" s="50"/>
    </row>
    <row r="160" spans="1:12" x14ac:dyDescent="0.25">
      <c r="A160" s="58"/>
      <c r="B160" s="58" t="s">
        <v>26</v>
      </c>
      <c r="C160" s="58"/>
      <c r="D160" s="59"/>
      <c r="E160" s="60">
        <f>E161+E164</f>
        <v>0</v>
      </c>
      <c r="F160" s="60">
        <f t="shared" ref="F160" si="55">F161+F164</f>
        <v>0</v>
      </c>
      <c r="G160" s="60">
        <f>G161+G164</f>
        <v>48000</v>
      </c>
      <c r="H160" s="60">
        <f>H161+H164</f>
        <v>72000</v>
      </c>
    </row>
    <row r="161" spans="1:12" s="5" customFormat="1" x14ac:dyDescent="0.25">
      <c r="B161" s="5" t="s">
        <v>61</v>
      </c>
      <c r="D161" s="36"/>
      <c r="E161" s="52">
        <f>E162*E163</f>
        <v>0</v>
      </c>
      <c r="F161" s="52">
        <f>F162*F163</f>
        <v>0</v>
      </c>
      <c r="G161" s="52">
        <f t="shared" ref="G161:H161" si="56">G162*G163</f>
        <v>14400</v>
      </c>
      <c r="H161" s="52">
        <f t="shared" si="56"/>
        <v>21600</v>
      </c>
      <c r="I161" s="6"/>
      <c r="J161" s="6"/>
      <c r="K161" s="6"/>
      <c r="L161" s="6"/>
    </row>
    <row r="162" spans="1:12" s="5" customFormat="1" x14ac:dyDescent="0.25">
      <c r="B162" s="47" t="s">
        <v>166</v>
      </c>
      <c r="D162" s="36"/>
      <c r="E162" s="52">
        <f>'Rates and GI'!$D$38</f>
        <v>300</v>
      </c>
      <c r="F162" s="52">
        <f>'Rates and GI'!$D$38</f>
        <v>300</v>
      </c>
      <c r="G162" s="52">
        <f>'Rates and GI'!$D$38</f>
        <v>300</v>
      </c>
      <c r="H162" s="52">
        <f>'Rates and GI'!$D$38</f>
        <v>300</v>
      </c>
      <c r="I162" s="6"/>
      <c r="J162" s="6"/>
      <c r="K162" s="6"/>
      <c r="L162" s="6"/>
    </row>
    <row r="163" spans="1:12" s="5" customFormat="1" x14ac:dyDescent="0.25">
      <c r="B163" s="47" t="s">
        <v>165</v>
      </c>
      <c r="D163" s="36"/>
      <c r="E163" s="52">
        <v>0</v>
      </c>
      <c r="F163" s="52">
        <f>F123-F119</f>
        <v>0</v>
      </c>
      <c r="G163" s="52">
        <f>G123-G119-F163+5</f>
        <v>48</v>
      </c>
      <c r="H163" s="52">
        <f>H123-H119-G163-F163+5</f>
        <v>72</v>
      </c>
      <c r="I163" s="6"/>
      <c r="J163" s="6"/>
      <c r="K163" s="6"/>
      <c r="L163" s="6"/>
    </row>
    <row r="164" spans="1:12" s="5" customFormat="1" x14ac:dyDescent="0.25">
      <c r="B164" s="5" t="s">
        <v>62</v>
      </c>
      <c r="D164" s="36"/>
      <c r="E164" s="52">
        <f>E165*E166</f>
        <v>0</v>
      </c>
      <c r="F164" s="52">
        <f t="shared" ref="F164:H164" si="57">F165*F166</f>
        <v>0</v>
      </c>
      <c r="G164" s="52">
        <f t="shared" si="57"/>
        <v>33600</v>
      </c>
      <c r="H164" s="52">
        <f t="shared" si="57"/>
        <v>50400</v>
      </c>
      <c r="I164" s="6"/>
      <c r="J164" s="6"/>
      <c r="K164" s="6"/>
      <c r="L164" s="6"/>
    </row>
    <row r="165" spans="1:12" s="5" customFormat="1" x14ac:dyDescent="0.25">
      <c r="B165" s="47" t="s">
        <v>166</v>
      </c>
      <c r="D165" s="36"/>
      <c r="E165" s="52">
        <f>'Rates and GI'!$D$39</f>
        <v>350</v>
      </c>
      <c r="F165" s="52">
        <f>'Rates and GI'!$D$39</f>
        <v>350</v>
      </c>
      <c r="G165" s="52">
        <f>'Rates and GI'!$D$39</f>
        <v>350</v>
      </c>
      <c r="H165" s="52">
        <f>'Rates and GI'!$D$39</f>
        <v>350</v>
      </c>
      <c r="I165" s="6"/>
      <c r="J165" s="6"/>
      <c r="K165" s="6"/>
      <c r="L165" s="6"/>
    </row>
    <row r="166" spans="1:12" s="5" customFormat="1" x14ac:dyDescent="0.25">
      <c r="B166" s="47" t="s">
        <v>165</v>
      </c>
      <c r="D166" s="36"/>
      <c r="E166" s="52">
        <f>E163*2</f>
        <v>0</v>
      </c>
      <c r="F166" s="52">
        <f t="shared" ref="F166:H166" si="58">F163*2</f>
        <v>0</v>
      </c>
      <c r="G166" s="52">
        <f>G163*2</f>
        <v>96</v>
      </c>
      <c r="H166" s="52">
        <f t="shared" si="58"/>
        <v>144</v>
      </c>
      <c r="I166" s="6"/>
      <c r="J166" s="6"/>
      <c r="K166" s="6"/>
      <c r="L166" s="6"/>
    </row>
    <row r="168" spans="1:12" s="5" customFormat="1" hidden="1" x14ac:dyDescent="0.25">
      <c r="B168" s="5" t="s">
        <v>309</v>
      </c>
      <c r="D168" s="36"/>
      <c r="E168" s="36">
        <f>SUM(E169:E173)</f>
        <v>0</v>
      </c>
      <c r="F168" s="36">
        <f t="shared" ref="F168:H168" si="59">F169+F172</f>
        <v>0</v>
      </c>
      <c r="G168" s="36">
        <f t="shared" si="59"/>
        <v>0</v>
      </c>
      <c r="H168" s="36">
        <f t="shared" si="59"/>
        <v>0</v>
      </c>
      <c r="I168" s="6"/>
      <c r="J168" s="6"/>
      <c r="K168" s="6"/>
      <c r="L168" s="6"/>
    </row>
    <row r="169" spans="1:12" s="5" customFormat="1" hidden="1" x14ac:dyDescent="0.25">
      <c r="B169" s="47" t="s">
        <v>235</v>
      </c>
      <c r="D169" s="36"/>
      <c r="E169" s="36">
        <v>0</v>
      </c>
      <c r="F169" s="36"/>
      <c r="G169" s="29"/>
      <c r="H169" s="108"/>
      <c r="I169" s="6"/>
      <c r="J169" s="6"/>
      <c r="K169" s="6"/>
      <c r="L169" s="6"/>
    </row>
    <row r="170" spans="1:12" s="5" customFormat="1" hidden="1" x14ac:dyDescent="0.25">
      <c r="B170" s="47" t="s">
        <v>310</v>
      </c>
      <c r="D170" s="36"/>
      <c r="E170" s="36"/>
      <c r="F170" s="36"/>
      <c r="G170" s="29"/>
      <c r="H170" s="108"/>
      <c r="I170" s="6"/>
      <c r="J170" s="6"/>
      <c r="K170" s="6"/>
      <c r="L170" s="6"/>
    </row>
    <row r="171" spans="1:12" s="5" customFormat="1" hidden="1" x14ac:dyDescent="0.25">
      <c r="B171" s="47" t="s">
        <v>311</v>
      </c>
      <c r="D171" s="36"/>
      <c r="E171" s="36"/>
      <c r="F171" s="36"/>
      <c r="G171" s="29"/>
      <c r="H171" s="108"/>
      <c r="I171" s="6"/>
      <c r="J171" s="6"/>
      <c r="K171" s="6"/>
      <c r="L171" s="6"/>
    </row>
    <row r="172" spans="1:12" s="5" customFormat="1" hidden="1" x14ac:dyDescent="0.25">
      <c r="B172" s="47" t="s">
        <v>236</v>
      </c>
      <c r="D172" s="36"/>
      <c r="E172" s="36">
        <v>0</v>
      </c>
      <c r="F172" s="36"/>
      <c r="G172" s="29"/>
      <c r="H172" s="108"/>
      <c r="I172" s="6"/>
      <c r="J172" s="6"/>
      <c r="K172" s="6"/>
      <c r="L172" s="6"/>
    </row>
    <row r="173" spans="1:12" s="5" customFormat="1" hidden="1" x14ac:dyDescent="0.25">
      <c r="B173" s="47" t="s">
        <v>312</v>
      </c>
      <c r="D173" s="36"/>
      <c r="E173" s="36"/>
      <c r="F173" s="36"/>
      <c r="G173" s="29"/>
      <c r="H173" s="108"/>
      <c r="I173" s="6"/>
      <c r="J173" s="6"/>
      <c r="K173" s="6"/>
      <c r="L173" s="6"/>
    </row>
    <row r="175" spans="1:12" x14ac:dyDescent="0.25">
      <c r="A175" s="58"/>
      <c r="B175" s="58" t="s">
        <v>8</v>
      </c>
      <c r="C175" s="58"/>
      <c r="D175" s="59"/>
      <c r="E175" s="60">
        <f>E176*E177</f>
        <v>0</v>
      </c>
      <c r="F175" s="60">
        <f t="shared" ref="F175:H175" si="60">F176*F177</f>
        <v>0</v>
      </c>
      <c r="G175" s="60">
        <f t="shared" si="60"/>
        <v>24000</v>
      </c>
      <c r="H175" s="60">
        <f t="shared" si="60"/>
        <v>36000</v>
      </c>
    </row>
    <row r="176" spans="1:12" s="5" customFormat="1" x14ac:dyDescent="0.25">
      <c r="B176" s="47" t="s">
        <v>166</v>
      </c>
      <c r="D176" s="36"/>
      <c r="E176" s="52">
        <f>'Rates and GI'!$D$40</f>
        <v>100</v>
      </c>
      <c r="F176" s="52">
        <f>'Rates and GI'!$D$40</f>
        <v>100</v>
      </c>
      <c r="G176" s="52">
        <f>'Rates and GI'!$D$40</f>
        <v>100</v>
      </c>
      <c r="H176" s="52">
        <f>'Rates and GI'!$D$40</f>
        <v>100</v>
      </c>
      <c r="I176" s="6"/>
      <c r="J176" s="6"/>
      <c r="K176" s="6"/>
      <c r="L176" s="6"/>
    </row>
    <row r="177" spans="1:12" s="5" customFormat="1" x14ac:dyDescent="0.25">
      <c r="B177" s="47" t="s">
        <v>165</v>
      </c>
      <c r="D177" s="36"/>
      <c r="E177" s="52">
        <f>E163*5</f>
        <v>0</v>
      </c>
      <c r="F177" s="52">
        <f>F163*5</f>
        <v>0</v>
      </c>
      <c r="G177" s="52">
        <f t="shared" ref="G177:H177" si="61">G163*5</f>
        <v>240</v>
      </c>
      <c r="H177" s="52">
        <f t="shared" si="61"/>
        <v>360</v>
      </c>
      <c r="I177" s="6"/>
      <c r="J177" s="6"/>
      <c r="K177" s="6"/>
      <c r="L177" s="6"/>
    </row>
    <row r="179" spans="1:12" x14ac:dyDescent="0.25">
      <c r="A179" s="58"/>
      <c r="B179" s="163" t="s">
        <v>313</v>
      </c>
      <c r="C179" s="58"/>
      <c r="D179" s="59"/>
      <c r="E179" s="60">
        <f>E180*E181+E182*E183+E184*E185</f>
        <v>0</v>
      </c>
      <c r="F179" s="60">
        <f t="shared" ref="F179:H179" si="62">F180*F181+F182*F183+F184*F185</f>
        <v>0</v>
      </c>
      <c r="G179" s="60">
        <f t="shared" si="62"/>
        <v>21000</v>
      </c>
      <c r="H179" s="60">
        <f t="shared" si="62"/>
        <v>0</v>
      </c>
    </row>
    <row r="180" spans="1:12" s="5" customFormat="1" x14ac:dyDescent="0.25">
      <c r="B180" s="47" t="s">
        <v>385</v>
      </c>
      <c r="D180" s="36"/>
      <c r="E180" s="52">
        <f>'Rates and GI'!$D$41</f>
        <v>10500</v>
      </c>
      <c r="F180" s="52">
        <f>'Rates and GI'!$D$41</f>
        <v>10500</v>
      </c>
      <c r="G180" s="52">
        <f>'Rates and GI'!$D$41</f>
        <v>10500</v>
      </c>
      <c r="H180" s="52">
        <f>'Rates and GI'!$D$41</f>
        <v>10500</v>
      </c>
      <c r="I180" s="6"/>
      <c r="J180" s="6"/>
      <c r="K180" s="6"/>
      <c r="L180" s="6"/>
    </row>
    <row r="181" spans="1:12" s="5" customFormat="1" x14ac:dyDescent="0.25">
      <c r="B181" s="47" t="s">
        <v>316</v>
      </c>
      <c r="D181" s="36"/>
      <c r="E181" s="52">
        <v>0</v>
      </c>
      <c r="F181" s="52">
        <v>0</v>
      </c>
      <c r="G181" s="52">
        <v>2</v>
      </c>
      <c r="H181" s="52">
        <v>0</v>
      </c>
      <c r="I181" s="6"/>
      <c r="J181" s="6"/>
      <c r="K181" s="6"/>
      <c r="L181" s="6"/>
    </row>
    <row r="182" spans="1:12" s="5" customFormat="1" x14ac:dyDescent="0.25">
      <c r="B182" s="47" t="s">
        <v>386</v>
      </c>
      <c r="D182" s="36"/>
      <c r="E182" s="52">
        <f>'Rates and GI'!$D$42</f>
        <v>21300</v>
      </c>
      <c r="F182" s="52">
        <f>'Rates and GI'!$D$42</f>
        <v>21300</v>
      </c>
      <c r="G182" s="52">
        <f>'Rates and GI'!$D$42</f>
        <v>21300</v>
      </c>
      <c r="H182" s="52">
        <f>'Rates and GI'!$D$42</f>
        <v>21300</v>
      </c>
      <c r="I182" s="6"/>
      <c r="J182" s="6"/>
      <c r="K182" s="6"/>
      <c r="L182" s="6"/>
    </row>
    <row r="183" spans="1:12" s="5" customFormat="1" x14ac:dyDescent="0.25">
      <c r="B183" s="47" t="s">
        <v>317</v>
      </c>
      <c r="D183" s="36"/>
      <c r="E183" s="52">
        <v>0</v>
      </c>
      <c r="F183" s="52">
        <v>0</v>
      </c>
      <c r="G183" s="52">
        <v>0</v>
      </c>
      <c r="H183" s="52">
        <v>0</v>
      </c>
      <c r="I183" s="6"/>
      <c r="J183" s="6"/>
      <c r="K183" s="6"/>
      <c r="L183" s="6"/>
    </row>
    <row r="184" spans="1:12" s="5" customFormat="1" x14ac:dyDescent="0.25">
      <c r="B184" s="47" t="s">
        <v>387</v>
      </c>
      <c r="D184" s="36"/>
      <c r="E184" s="52"/>
      <c r="F184" s="52"/>
      <c r="G184" s="52"/>
      <c r="H184" s="52"/>
      <c r="I184" s="6"/>
      <c r="J184" s="6"/>
      <c r="K184" s="6"/>
      <c r="L184" s="6"/>
    </row>
    <row r="185" spans="1:12" s="5" customFormat="1" x14ac:dyDescent="0.25">
      <c r="B185" s="47" t="s">
        <v>388</v>
      </c>
      <c r="D185" s="36"/>
      <c r="E185" s="52"/>
      <c r="F185" s="52"/>
      <c r="G185" s="52"/>
      <c r="H185" s="52"/>
      <c r="I185" s="6"/>
      <c r="J185" s="6"/>
      <c r="K185" s="6"/>
      <c r="L185" s="6"/>
    </row>
    <row r="186" spans="1:12" hidden="1" x14ac:dyDescent="0.25"/>
    <row r="187" spans="1:12" hidden="1" x14ac:dyDescent="0.25"/>
    <row r="189" spans="1:12" hidden="1" x14ac:dyDescent="0.25">
      <c r="A189" s="58"/>
      <c r="B189" s="58" t="s">
        <v>25</v>
      </c>
      <c r="C189" s="58"/>
      <c r="D189" s="59"/>
      <c r="E189" s="59"/>
      <c r="F189" s="59"/>
      <c r="G189" s="59"/>
      <c r="H189" s="59"/>
    </row>
    <row r="190" spans="1:12" s="5" customFormat="1" hidden="1" x14ac:dyDescent="0.25">
      <c r="B190" s="47" t="s">
        <v>64</v>
      </c>
      <c r="D190" s="36"/>
      <c r="E190" s="36"/>
      <c r="F190" s="36"/>
      <c r="G190" s="29"/>
      <c r="H190" s="29"/>
      <c r="I190" s="6"/>
      <c r="J190" s="6"/>
      <c r="K190" s="6"/>
      <c r="L190" s="6"/>
    </row>
    <row r="191" spans="1:12" s="5" customFormat="1" hidden="1" x14ac:dyDescent="0.25">
      <c r="B191" s="47" t="s">
        <v>63</v>
      </c>
      <c r="D191" s="36"/>
      <c r="E191" s="52"/>
      <c r="F191" s="52"/>
      <c r="G191" s="44"/>
      <c r="H191" s="44"/>
      <c r="I191" s="6"/>
      <c r="J191" s="6"/>
      <c r="K191" s="6"/>
      <c r="L191" s="6"/>
    </row>
    <row r="192" spans="1:12" s="5" customFormat="1" hidden="1" x14ac:dyDescent="0.25">
      <c r="B192" s="47" t="s">
        <v>65</v>
      </c>
      <c r="D192" s="36"/>
      <c r="E192" s="52"/>
      <c r="F192" s="52"/>
      <c r="G192" s="44"/>
      <c r="H192" s="44"/>
      <c r="I192" s="6"/>
      <c r="J192" s="6"/>
      <c r="K192" s="6"/>
      <c r="L192" s="6"/>
    </row>
    <row r="193" spans="1:12" s="5" customFormat="1" hidden="1" x14ac:dyDescent="0.25">
      <c r="B193" s="5" t="s">
        <v>173</v>
      </c>
      <c r="D193" s="36"/>
      <c r="E193" s="52">
        <f>E194+E195*E196</f>
        <v>0</v>
      </c>
      <c r="F193" s="52">
        <f t="shared" ref="F193:H193" si="63">F194+F195*F196</f>
        <v>0</v>
      </c>
      <c r="G193" s="52">
        <f t="shared" si="63"/>
        <v>0</v>
      </c>
      <c r="H193" s="52">
        <f t="shared" si="63"/>
        <v>0</v>
      </c>
    </row>
    <row r="194" spans="1:12" hidden="1" x14ac:dyDescent="0.25">
      <c r="B194" s="47" t="s">
        <v>220</v>
      </c>
      <c r="E194" s="52"/>
      <c r="F194" s="52">
        <f>'Rates and GI'!D56*0</f>
        <v>0</v>
      </c>
      <c r="G194" s="44"/>
      <c r="H194" s="44"/>
    </row>
    <row r="195" spans="1:12" hidden="1" x14ac:dyDescent="0.25">
      <c r="B195" s="47" t="s">
        <v>178</v>
      </c>
      <c r="E195" s="68">
        <f>'Rates and GI'!$D$59</f>
        <v>0.02</v>
      </c>
      <c r="F195" s="68">
        <f>'Rates and GI'!$D$59</f>
        <v>0.02</v>
      </c>
      <c r="G195" s="68">
        <f>'Rates and GI'!$D$59</f>
        <v>0.02</v>
      </c>
      <c r="H195" s="68">
        <f>'Rates and GI'!$D$59</f>
        <v>0.02</v>
      </c>
    </row>
    <row r="196" spans="1:12" hidden="1" x14ac:dyDescent="0.25">
      <c r="B196" s="47" t="s">
        <v>179</v>
      </c>
      <c r="E196" s="52">
        <v>0</v>
      </c>
      <c r="F196" s="52">
        <v>0</v>
      </c>
      <c r="G196" s="52">
        <v>0</v>
      </c>
      <c r="H196" s="52">
        <v>0</v>
      </c>
    </row>
    <row r="197" spans="1:12" s="5" customFormat="1" hidden="1" x14ac:dyDescent="0.25">
      <c r="B197" s="47"/>
      <c r="D197" s="36"/>
      <c r="E197" s="36"/>
      <c r="F197" s="36"/>
      <c r="G197" s="29"/>
      <c r="H197" s="29"/>
      <c r="I197" s="6"/>
      <c r="J197" s="6"/>
      <c r="K197" s="6"/>
      <c r="L197" s="6"/>
    </row>
    <row r="198" spans="1:12" x14ac:dyDescent="0.25">
      <c r="A198" s="58"/>
      <c r="B198" s="58" t="s">
        <v>241</v>
      </c>
      <c r="C198" s="58"/>
      <c r="D198" s="59"/>
      <c r="E198" s="60">
        <f>E199+E207</f>
        <v>0</v>
      </c>
      <c r="F198" s="60">
        <f t="shared" ref="F198:H198" si="64">F199+F207</f>
        <v>0</v>
      </c>
      <c r="G198" s="60">
        <f t="shared" si="64"/>
        <v>197835</v>
      </c>
      <c r="H198" s="60">
        <f t="shared" si="64"/>
        <v>197835</v>
      </c>
      <c r="I198" s="70"/>
    </row>
    <row r="199" spans="1:12" x14ac:dyDescent="0.25">
      <c r="B199" s="5" t="s">
        <v>278</v>
      </c>
      <c r="E199" s="52">
        <f>SUM(E202:E205)</f>
        <v>0</v>
      </c>
      <c r="F199" s="52">
        <f t="shared" ref="F199:H199" si="65">SUM(F202:F205)</f>
        <v>0</v>
      </c>
      <c r="G199" s="52">
        <f t="shared" si="65"/>
        <v>191835</v>
      </c>
      <c r="H199" s="52">
        <f t="shared" si="65"/>
        <v>191835</v>
      </c>
      <c r="I199" s="70"/>
    </row>
    <row r="200" spans="1:12" x14ac:dyDescent="0.25">
      <c r="B200" s="47" t="s">
        <v>238</v>
      </c>
      <c r="C200" s="5" t="s">
        <v>56</v>
      </c>
      <c r="E200" s="52">
        <v>0</v>
      </c>
      <c r="F200" s="52">
        <f>$F$155</f>
        <v>3937.5</v>
      </c>
      <c r="G200" s="52">
        <f t="shared" ref="G200:H200" si="66">$F$155</f>
        <v>3937.5</v>
      </c>
      <c r="H200" s="52">
        <f t="shared" si="66"/>
        <v>3937.5</v>
      </c>
      <c r="I200" s="70"/>
    </row>
    <row r="201" spans="1:12" x14ac:dyDescent="0.25">
      <c r="B201" s="47" t="s">
        <v>40</v>
      </c>
      <c r="E201" s="52">
        <v>0</v>
      </c>
      <c r="F201" s="52">
        <v>0</v>
      </c>
      <c r="G201" s="52">
        <v>12</v>
      </c>
      <c r="H201" s="52">
        <v>12</v>
      </c>
      <c r="I201" s="70"/>
    </row>
    <row r="202" spans="1:12" s="5" customFormat="1" x14ac:dyDescent="0.25">
      <c r="B202" s="47" t="s">
        <v>237</v>
      </c>
      <c r="D202" s="36"/>
      <c r="E202" s="52">
        <f>'Rates and GI'!$D$47/500*E200*E201</f>
        <v>0</v>
      </c>
      <c r="F202" s="52">
        <f>'Rates and GI'!$D$47/500*F200*F201</f>
        <v>0</v>
      </c>
      <c r="G202" s="52">
        <f>'Rates and GI'!$D$47/500*G200*G201</f>
        <v>120960</v>
      </c>
      <c r="H202" s="52">
        <f>'Rates and GI'!$D$47/500*H200*H201</f>
        <v>120960</v>
      </c>
      <c r="I202" s="70"/>
      <c r="J202" s="111"/>
      <c r="K202" s="6"/>
      <c r="L202" s="6"/>
    </row>
    <row r="203" spans="1:12" s="5" customFormat="1" x14ac:dyDescent="0.25">
      <c r="B203" s="47" t="s">
        <v>18</v>
      </c>
      <c r="D203" s="36"/>
      <c r="E203" s="52">
        <f>'Rates and GI'!$D$48/500*E200*E201</f>
        <v>0</v>
      </c>
      <c r="F203" s="52">
        <f>'Rates and GI'!$D$48/500*F200*F201</f>
        <v>0</v>
      </c>
      <c r="G203" s="52">
        <f>'Rates and GI'!$D$48/500*G200*G201</f>
        <v>28350</v>
      </c>
      <c r="H203" s="52">
        <f>'Rates and GI'!$D$48/500*H200*H201</f>
        <v>28350</v>
      </c>
      <c r="I203" s="70"/>
      <c r="J203" s="6"/>
      <c r="K203" s="6"/>
      <c r="L203" s="6"/>
    </row>
    <row r="204" spans="1:12" s="5" customFormat="1" x14ac:dyDescent="0.25">
      <c r="B204" s="47" t="s">
        <v>19</v>
      </c>
      <c r="D204" s="36"/>
      <c r="E204" s="52">
        <f>'Rates and GI'!$D$49/500*E200*E201</f>
        <v>0</v>
      </c>
      <c r="F204" s="52">
        <f>'Rates and GI'!$D$49/500*F200*F201</f>
        <v>0</v>
      </c>
      <c r="G204" s="52">
        <f>'Rates and GI'!$D$49/500*G200*G201</f>
        <v>23625</v>
      </c>
      <c r="H204" s="52">
        <f>'Rates and GI'!$D$49/500*H200*H201</f>
        <v>23625</v>
      </c>
      <c r="I204" s="70"/>
      <c r="J204" s="6"/>
      <c r="K204" s="6"/>
      <c r="L204" s="6"/>
    </row>
    <row r="205" spans="1:12" s="5" customFormat="1" x14ac:dyDescent="0.25">
      <c r="B205" s="47" t="s">
        <v>22</v>
      </c>
      <c r="D205" s="36"/>
      <c r="E205" s="52">
        <f>'Rates and GI'!$D$50/500*E200*E201</f>
        <v>0</v>
      </c>
      <c r="F205" s="52">
        <f>'Rates and GI'!$D$50/500*F200*F201</f>
        <v>0</v>
      </c>
      <c r="G205" s="52">
        <f>'Rates and GI'!$D$50/500*G200*G201</f>
        <v>18900</v>
      </c>
      <c r="H205" s="52">
        <f>'Rates and GI'!$D$50/500*H200*H201</f>
        <v>18900</v>
      </c>
      <c r="I205" s="70"/>
      <c r="J205" s="6"/>
      <c r="K205" s="6"/>
      <c r="L205" s="6"/>
    </row>
    <row r="206" spans="1:12" s="5" customFormat="1" x14ac:dyDescent="0.25">
      <c r="B206" s="47"/>
      <c r="D206" s="36"/>
      <c r="E206" s="36"/>
      <c r="F206" s="36"/>
      <c r="G206" s="29"/>
      <c r="H206" s="29"/>
      <c r="I206" s="6"/>
      <c r="J206" s="6"/>
      <c r="K206" s="6"/>
      <c r="L206" s="6"/>
    </row>
    <row r="207" spans="1:12" s="5" customFormat="1" x14ac:dyDescent="0.25">
      <c r="B207" s="5" t="s">
        <v>13</v>
      </c>
      <c r="D207" s="36"/>
      <c r="E207" s="52">
        <f>E208*E209/12*E201</f>
        <v>0</v>
      </c>
      <c r="F207" s="52">
        <f t="shared" ref="F207:H207" si="67">F208*F209</f>
        <v>0</v>
      </c>
      <c r="G207" s="52">
        <f t="shared" si="67"/>
        <v>6000</v>
      </c>
      <c r="H207" s="52">
        <f t="shared" si="67"/>
        <v>6000</v>
      </c>
      <c r="I207" s="6"/>
      <c r="J207" s="6"/>
      <c r="K207" s="6"/>
      <c r="L207" s="6"/>
    </row>
    <row r="208" spans="1:12" s="5" customFormat="1" x14ac:dyDescent="0.25">
      <c r="B208" s="47" t="s">
        <v>239</v>
      </c>
      <c r="D208" s="36"/>
      <c r="E208" s="52">
        <v>0</v>
      </c>
      <c r="F208" s="52">
        <v>0</v>
      </c>
      <c r="G208" s="52">
        <f>G181</f>
        <v>2</v>
      </c>
      <c r="H208" s="52">
        <f>G208</f>
        <v>2</v>
      </c>
      <c r="I208" s="6"/>
      <c r="J208" s="6"/>
      <c r="K208" s="6"/>
      <c r="L208" s="6"/>
    </row>
    <row r="209" spans="1:12" s="5" customFormat="1" x14ac:dyDescent="0.25">
      <c r="B209" s="47" t="s">
        <v>242</v>
      </c>
      <c r="C209" s="78"/>
      <c r="D209" s="36"/>
      <c r="E209" s="52">
        <v>0</v>
      </c>
      <c r="F209" s="52">
        <f>'Rates and GI'!$D$51</f>
        <v>3000</v>
      </c>
      <c r="G209" s="52">
        <f>'Rates and GI'!$D$51</f>
        <v>3000</v>
      </c>
      <c r="H209" s="52">
        <f>'Rates and GI'!$D$51</f>
        <v>3000</v>
      </c>
      <c r="I209" s="6"/>
      <c r="J209" s="6"/>
      <c r="K209" s="6"/>
      <c r="L209" s="6"/>
    </row>
    <row r="210" spans="1:12" s="5" customFormat="1" x14ac:dyDescent="0.25">
      <c r="B210" s="47"/>
      <c r="D210" s="36"/>
      <c r="E210" s="36"/>
      <c r="F210" s="36"/>
      <c r="G210" s="29"/>
      <c r="H210" s="29"/>
      <c r="I210" s="6"/>
      <c r="J210" s="6"/>
      <c r="K210" s="6"/>
      <c r="L210" s="6"/>
    </row>
    <row r="211" spans="1:12" x14ac:dyDescent="0.25">
      <c r="A211" s="58"/>
      <c r="B211" s="58" t="s">
        <v>21</v>
      </c>
      <c r="C211" s="58"/>
      <c r="D211" s="59"/>
      <c r="E211" s="60">
        <f>E212*E213+E214*E215++E216*E217+E218*E219</f>
        <v>0</v>
      </c>
      <c r="F211" s="60">
        <f t="shared" ref="F211:H211" si="68">F212*F213+F214*F215++F216*F217+F218*F219</f>
        <v>1750</v>
      </c>
      <c r="G211" s="60">
        <f t="shared" si="68"/>
        <v>100</v>
      </c>
      <c r="H211" s="60">
        <f t="shared" si="68"/>
        <v>100</v>
      </c>
    </row>
    <row r="212" spans="1:12" hidden="1" x14ac:dyDescent="0.25">
      <c r="B212" s="47" t="s">
        <v>169</v>
      </c>
      <c r="E212" s="52"/>
      <c r="F212" s="52"/>
      <c r="G212" s="52">
        <v>0</v>
      </c>
      <c r="H212" s="52"/>
    </row>
    <row r="213" spans="1:12" hidden="1" x14ac:dyDescent="0.25">
      <c r="B213" s="47" t="s">
        <v>170</v>
      </c>
      <c r="E213" s="52">
        <f>'Rates and GI'!$D$69</f>
        <v>5000</v>
      </c>
      <c r="F213" s="52">
        <f>'Rates and GI'!$D$69</f>
        <v>5000</v>
      </c>
      <c r="G213" s="52">
        <f>'Rates and GI'!$D$69</f>
        <v>5000</v>
      </c>
      <c r="H213" s="52">
        <f>'Rates and GI'!$D$69</f>
        <v>5000</v>
      </c>
    </row>
    <row r="214" spans="1:12" x14ac:dyDescent="0.25">
      <c r="B214" s="47" t="s">
        <v>167</v>
      </c>
      <c r="E214" s="52"/>
      <c r="F214" s="52">
        <v>1</v>
      </c>
      <c r="G214" s="52">
        <v>0</v>
      </c>
      <c r="H214" s="52">
        <v>0</v>
      </c>
    </row>
    <row r="215" spans="1:12" x14ac:dyDescent="0.25">
      <c r="B215" s="47" t="s">
        <v>168</v>
      </c>
      <c r="E215" s="52">
        <f>'Rates and GI'!$D$70</f>
        <v>1500</v>
      </c>
      <c r="F215" s="52">
        <f>'Rates and GI'!$D$70</f>
        <v>1500</v>
      </c>
      <c r="G215" s="52">
        <f>'Rates and GI'!$D$70</f>
        <v>1500</v>
      </c>
      <c r="H215" s="52">
        <f>'Rates and GI'!$D$70</f>
        <v>1500</v>
      </c>
    </row>
    <row r="216" spans="1:12" ht="27" x14ac:dyDescent="0.25">
      <c r="B216" s="71" t="s">
        <v>183</v>
      </c>
      <c r="E216" s="52">
        <v>0</v>
      </c>
      <c r="F216" s="52">
        <v>1</v>
      </c>
      <c r="G216" s="52">
        <v>0</v>
      </c>
      <c r="H216" s="52">
        <v>0</v>
      </c>
    </row>
    <row r="217" spans="1:12" ht="27" x14ac:dyDescent="0.25">
      <c r="B217" s="71" t="s">
        <v>182</v>
      </c>
      <c r="E217" s="52">
        <f>'Rates and GI'!$D$71</f>
        <v>200</v>
      </c>
      <c r="F217" s="52">
        <f>'Rates and GI'!$D$71</f>
        <v>200</v>
      </c>
      <c r="G217" s="52">
        <f>'Rates and GI'!$D$71</f>
        <v>200</v>
      </c>
      <c r="H217" s="52">
        <f>'Rates and GI'!$D$71</f>
        <v>200</v>
      </c>
    </row>
    <row r="218" spans="1:12" s="5" customFormat="1" x14ac:dyDescent="0.25">
      <c r="B218" s="47" t="s">
        <v>354</v>
      </c>
      <c r="D218" s="36"/>
      <c r="E218" s="52">
        <v>0</v>
      </c>
      <c r="F218" s="52">
        <v>1</v>
      </c>
      <c r="G218" s="52">
        <v>2</v>
      </c>
      <c r="H218" s="52">
        <v>2</v>
      </c>
      <c r="I218" s="6"/>
      <c r="J218" s="6"/>
      <c r="K218" s="6"/>
      <c r="L218" s="6"/>
    </row>
    <row r="219" spans="1:12" s="5" customFormat="1" x14ac:dyDescent="0.25">
      <c r="B219" s="47" t="s">
        <v>349</v>
      </c>
      <c r="D219" s="36"/>
      <c r="E219" s="52">
        <f>'Rates and GI'!$D$72</f>
        <v>50</v>
      </c>
      <c r="F219" s="52">
        <f>'Rates and GI'!$D$72</f>
        <v>50</v>
      </c>
      <c r="G219" s="52">
        <f>'Rates and GI'!$D$72</f>
        <v>50</v>
      </c>
      <c r="H219" s="52">
        <f>'Rates and GI'!$D$72</f>
        <v>50</v>
      </c>
      <c r="I219" s="6"/>
      <c r="J219" s="6"/>
      <c r="K219" s="6"/>
      <c r="L219" s="6"/>
    </row>
    <row r="220" spans="1:12" x14ac:dyDescent="0.25">
      <c r="A220" s="58"/>
      <c r="B220" s="58"/>
      <c r="C220" s="58"/>
      <c r="D220" s="59"/>
      <c r="E220" s="60"/>
      <c r="F220" s="60"/>
      <c r="G220" s="60"/>
      <c r="H220" s="60"/>
    </row>
    <row r="221" spans="1:12" hidden="1" x14ac:dyDescent="0.25">
      <c r="A221" s="58"/>
      <c r="B221" s="58" t="s">
        <v>218</v>
      </c>
      <c r="C221" s="58"/>
      <c r="D221" s="59"/>
      <c r="E221" s="60">
        <f>E222+E225+E228+E237+E242</f>
        <v>0</v>
      </c>
      <c r="F221" s="60">
        <f t="shared" ref="F221:H221" si="69">F222+F225+F228+F237+F242</f>
        <v>0</v>
      </c>
      <c r="G221" s="60">
        <f t="shared" si="69"/>
        <v>0</v>
      </c>
      <c r="H221" s="60">
        <f t="shared" si="69"/>
        <v>0</v>
      </c>
    </row>
    <row r="222" spans="1:12" s="5" customFormat="1" hidden="1" x14ac:dyDescent="0.25">
      <c r="B222" s="5" t="s">
        <v>197</v>
      </c>
      <c r="D222" s="36"/>
      <c r="E222" s="52">
        <f>E223+E226*E227</f>
        <v>0</v>
      </c>
      <c r="F222" s="52">
        <f>F223+F226*F227</f>
        <v>0</v>
      </c>
      <c r="G222" s="52">
        <f>G223+G226*G227</f>
        <v>0</v>
      </c>
      <c r="H222" s="52">
        <f t="shared" ref="H222" si="70">H223+H226*H227</f>
        <v>0</v>
      </c>
    </row>
    <row r="223" spans="1:12" hidden="1" x14ac:dyDescent="0.25">
      <c r="B223" s="47" t="s">
        <v>208</v>
      </c>
      <c r="E223" s="52"/>
      <c r="F223" s="52">
        <f>('Rates and GI'!$D$56+'Rates and GI'!$D$60)*0</f>
        <v>0</v>
      </c>
      <c r="G223" s="52">
        <f>('Rates and GI'!$D$56+'Rates and GI'!$D$60)*0</f>
        <v>0</v>
      </c>
      <c r="H223" s="52"/>
    </row>
    <row r="224" spans="1:12" hidden="1" x14ac:dyDescent="0.25">
      <c r="B224" s="47" t="s">
        <v>211</v>
      </c>
      <c r="E224" s="52"/>
      <c r="F224" s="52">
        <f>'Rates and GI'!$D$62*0</f>
        <v>0</v>
      </c>
      <c r="G224" s="52">
        <f>'Rates and GI'!$D$62*0</f>
        <v>0</v>
      </c>
      <c r="H224" s="52"/>
    </row>
    <row r="225" spans="2:8" hidden="1" x14ac:dyDescent="0.25">
      <c r="B225" s="5" t="s">
        <v>198</v>
      </c>
      <c r="E225" s="52">
        <f>E226*E227</f>
        <v>0</v>
      </c>
      <c r="F225" s="52">
        <f t="shared" ref="F225:H225" si="71">F226*F227</f>
        <v>0</v>
      </c>
      <c r="G225" s="52">
        <f t="shared" si="71"/>
        <v>0</v>
      </c>
      <c r="H225" s="52">
        <f t="shared" si="71"/>
        <v>0</v>
      </c>
    </row>
    <row r="226" spans="2:8" hidden="1" x14ac:dyDescent="0.25">
      <c r="B226" s="47" t="s">
        <v>186</v>
      </c>
      <c r="E226" s="52"/>
      <c r="F226" s="52">
        <f>'Rates and GI'!$D$65</f>
        <v>24.1465</v>
      </c>
      <c r="G226" s="52">
        <f>'Rates and GI'!$D$65</f>
        <v>24.1465</v>
      </c>
      <c r="H226" s="52">
        <f>'Rates and GI'!$D$65</f>
        <v>24.1465</v>
      </c>
    </row>
    <row r="227" spans="2:8" hidden="1" x14ac:dyDescent="0.25">
      <c r="B227" s="47" t="s">
        <v>185</v>
      </c>
      <c r="E227" s="52"/>
      <c r="F227" s="52">
        <v>0</v>
      </c>
      <c r="G227" s="52">
        <v>0</v>
      </c>
      <c r="H227" s="52">
        <v>0</v>
      </c>
    </row>
    <row r="228" spans="2:8" hidden="1" x14ac:dyDescent="0.25">
      <c r="B228" s="5" t="s">
        <v>199</v>
      </c>
      <c r="E228" s="52">
        <f>E229+E233</f>
        <v>0</v>
      </c>
      <c r="F228" s="52">
        <f t="shared" ref="F228:H228" si="72">F229+F233</f>
        <v>0</v>
      </c>
      <c r="G228" s="52">
        <f t="shared" si="72"/>
        <v>0</v>
      </c>
      <c r="H228" s="52">
        <f t="shared" si="72"/>
        <v>0</v>
      </c>
    </row>
    <row r="229" spans="2:8" hidden="1" x14ac:dyDescent="0.25">
      <c r="B229" s="47" t="s">
        <v>213</v>
      </c>
      <c r="E229" s="52">
        <f>E230*E231</f>
        <v>0</v>
      </c>
      <c r="F229" s="52">
        <f t="shared" ref="F229:H229" si="73">F230*F231</f>
        <v>0</v>
      </c>
      <c r="G229" s="52">
        <f t="shared" si="73"/>
        <v>0</v>
      </c>
      <c r="H229" s="52">
        <f t="shared" si="73"/>
        <v>0</v>
      </c>
    </row>
    <row r="230" spans="2:8" hidden="1" x14ac:dyDescent="0.25">
      <c r="B230" s="47" t="s">
        <v>200</v>
      </c>
      <c r="C230" s="5" t="s">
        <v>201</v>
      </c>
      <c r="E230" s="52">
        <v>0</v>
      </c>
      <c r="F230" s="52">
        <v>0</v>
      </c>
      <c r="G230" s="52">
        <v>0</v>
      </c>
      <c r="H230" s="52">
        <v>0</v>
      </c>
    </row>
    <row r="231" spans="2:8" hidden="1" x14ac:dyDescent="0.25">
      <c r="B231" s="47" t="s">
        <v>202</v>
      </c>
      <c r="E231" s="52">
        <f>'Rates and GI'!$D$63</f>
        <v>150</v>
      </c>
      <c r="F231" s="52">
        <f>'Rates and GI'!$D$63</f>
        <v>150</v>
      </c>
      <c r="G231" s="52">
        <f>'Rates and GI'!$D$63</f>
        <v>150</v>
      </c>
      <c r="H231" s="52">
        <f>'Rates and GI'!$D$63</f>
        <v>150</v>
      </c>
    </row>
    <row r="232" spans="2:8" hidden="1" x14ac:dyDescent="0.25">
      <c r="B232" s="6"/>
      <c r="E232" s="52"/>
      <c r="F232" s="52"/>
      <c r="G232" s="44"/>
      <c r="H232" s="44"/>
    </row>
    <row r="233" spans="2:8" hidden="1" x14ac:dyDescent="0.25">
      <c r="B233" s="47" t="s">
        <v>214</v>
      </c>
      <c r="E233" s="52">
        <f>E234*E235</f>
        <v>0</v>
      </c>
      <c r="F233" s="52">
        <f t="shared" ref="F233:H233" si="74">F234*F235</f>
        <v>0</v>
      </c>
      <c r="G233" s="52">
        <f t="shared" si="74"/>
        <v>0</v>
      </c>
      <c r="H233" s="52">
        <f t="shared" si="74"/>
        <v>0</v>
      </c>
    </row>
    <row r="234" spans="2:8" hidden="1" x14ac:dyDescent="0.25">
      <c r="B234" s="47" t="s">
        <v>200</v>
      </c>
      <c r="C234" s="5" t="s">
        <v>201</v>
      </c>
      <c r="E234" s="52">
        <v>0</v>
      </c>
      <c r="F234" s="52">
        <v>0</v>
      </c>
      <c r="G234" s="52">
        <v>0</v>
      </c>
      <c r="H234" s="52">
        <v>0</v>
      </c>
    </row>
    <row r="235" spans="2:8" hidden="1" x14ac:dyDescent="0.25">
      <c r="B235" s="47" t="s">
        <v>202</v>
      </c>
      <c r="E235" s="52">
        <f>'Rates and GI'!$D$64</f>
        <v>20</v>
      </c>
      <c r="F235" s="52">
        <f>'Rates and GI'!$D$64</f>
        <v>20</v>
      </c>
      <c r="G235" s="52">
        <f>'Rates and GI'!$D$64</f>
        <v>20</v>
      </c>
      <c r="H235" s="52">
        <f>'Rates and GI'!$D$64</f>
        <v>20</v>
      </c>
    </row>
    <row r="236" spans="2:8" hidden="1" x14ac:dyDescent="0.25">
      <c r="B236" s="6"/>
      <c r="E236" s="52"/>
      <c r="F236" s="52"/>
      <c r="G236" s="44"/>
      <c r="H236" s="44"/>
    </row>
    <row r="237" spans="2:8" hidden="1" x14ac:dyDescent="0.25">
      <c r="B237" s="5" t="s">
        <v>203</v>
      </c>
      <c r="E237" s="52">
        <f>E238*E239*E240</f>
        <v>0</v>
      </c>
      <c r="F237" s="52">
        <f t="shared" ref="F237:H237" si="75">F238*F239*F240</f>
        <v>0</v>
      </c>
      <c r="G237" s="52">
        <f t="shared" si="75"/>
        <v>0</v>
      </c>
      <c r="H237" s="52">
        <f t="shared" si="75"/>
        <v>0</v>
      </c>
    </row>
    <row r="238" spans="2:8" hidden="1" x14ac:dyDescent="0.25">
      <c r="B238" s="47" t="s">
        <v>215</v>
      </c>
      <c r="E238" s="52"/>
      <c r="F238" s="52">
        <f>'Rates and GI'!$D$66</f>
        <v>300</v>
      </c>
      <c r="G238" s="52">
        <f>'Rates and GI'!$D$66</f>
        <v>300</v>
      </c>
      <c r="H238" s="52">
        <f>'Rates and GI'!$D$66</f>
        <v>300</v>
      </c>
    </row>
    <row r="239" spans="2:8" hidden="1" x14ac:dyDescent="0.25">
      <c r="B239" s="47" t="s">
        <v>216</v>
      </c>
      <c r="E239" s="52">
        <v>0</v>
      </c>
      <c r="F239" s="52">
        <v>0</v>
      </c>
      <c r="G239" s="52">
        <v>0</v>
      </c>
      <c r="H239" s="52">
        <v>0</v>
      </c>
    </row>
    <row r="240" spans="2:8" hidden="1" x14ac:dyDescent="0.25">
      <c r="B240" s="47" t="s">
        <v>217</v>
      </c>
      <c r="E240" s="52">
        <v>0</v>
      </c>
      <c r="F240" s="52">
        <v>0</v>
      </c>
      <c r="G240" s="52">
        <v>0</v>
      </c>
      <c r="H240" s="52">
        <v>0</v>
      </c>
    </row>
    <row r="241" spans="2:8" hidden="1" x14ac:dyDescent="0.25">
      <c r="E241" s="52"/>
      <c r="F241" s="52"/>
      <c r="G241" s="44"/>
      <c r="H241" s="44"/>
    </row>
    <row r="242" spans="2:8" hidden="1" x14ac:dyDescent="0.25">
      <c r="B242" s="5" t="s">
        <v>196</v>
      </c>
      <c r="E242" s="52">
        <f>E243+E244*E245</f>
        <v>0</v>
      </c>
      <c r="F242" s="52">
        <f>F243+F244*F245</f>
        <v>0</v>
      </c>
      <c r="G242" s="52">
        <f>G243+G244*G245</f>
        <v>0</v>
      </c>
      <c r="H242" s="52">
        <f>H243+H244*H245</f>
        <v>0</v>
      </c>
    </row>
    <row r="243" spans="2:8" hidden="1" x14ac:dyDescent="0.25">
      <c r="B243" s="47" t="s">
        <v>172</v>
      </c>
      <c r="E243" s="52"/>
      <c r="F243" s="52">
        <f>'Rates and GI'!D57*0</f>
        <v>0</v>
      </c>
      <c r="G243" s="44"/>
      <c r="H243" s="44"/>
    </row>
    <row r="244" spans="2:8" hidden="1" x14ac:dyDescent="0.25">
      <c r="B244" s="47" t="s">
        <v>178</v>
      </c>
      <c r="E244" s="52"/>
      <c r="F244" s="75">
        <f>'Rates and GI'!$D$58</f>
        <v>0.05</v>
      </c>
      <c r="G244" s="75">
        <f>'Rates and GI'!$D$58</f>
        <v>0.05</v>
      </c>
      <c r="H244" s="75">
        <f>'Rates and GI'!$D$58</f>
        <v>0.05</v>
      </c>
    </row>
    <row r="245" spans="2:8" hidden="1" x14ac:dyDescent="0.25">
      <c r="B245" s="47" t="s">
        <v>179</v>
      </c>
      <c r="E245" s="52"/>
      <c r="F245" s="52">
        <v>0</v>
      </c>
      <c r="G245" s="44">
        <v>0</v>
      </c>
      <c r="H245" s="44"/>
    </row>
    <row r="246" spans="2:8" x14ac:dyDescent="0.25">
      <c r="E246" s="52"/>
      <c r="F246" s="52"/>
      <c r="G246" s="44"/>
      <c r="H246" s="44"/>
    </row>
    <row r="247" spans="2:8" x14ac:dyDescent="0.25">
      <c r="E247" s="52"/>
      <c r="F247" s="52"/>
      <c r="G247" s="44"/>
      <c r="H247" s="44"/>
    </row>
    <row r="248" spans="2:8" x14ac:dyDescent="0.25">
      <c r="E248" s="52"/>
      <c r="F248" s="52"/>
      <c r="G248" s="44"/>
      <c r="H248" s="44"/>
    </row>
    <row r="249" spans="2:8" x14ac:dyDescent="0.25">
      <c r="E249" s="52"/>
      <c r="F249" s="52"/>
      <c r="G249" s="44"/>
      <c r="H249" s="44"/>
    </row>
    <row r="250" spans="2:8" x14ac:dyDescent="0.25">
      <c r="E250" s="52"/>
      <c r="F250" s="52"/>
      <c r="G250" s="44"/>
      <c r="H250" s="44"/>
    </row>
    <row r="251" spans="2:8" x14ac:dyDescent="0.25">
      <c r="E251" s="52"/>
      <c r="F251" s="52"/>
      <c r="G251" s="44"/>
      <c r="H251" s="44"/>
    </row>
    <row r="252" spans="2:8" x14ac:dyDescent="0.25">
      <c r="E252" s="52"/>
      <c r="F252" s="52"/>
      <c r="G252" s="44"/>
      <c r="H252" s="44"/>
    </row>
    <row r="253" spans="2:8" x14ac:dyDescent="0.25">
      <c r="E253" s="52"/>
      <c r="F253" s="52"/>
      <c r="G253" s="44"/>
      <c r="H253" s="44"/>
    </row>
    <row r="254" spans="2:8" x14ac:dyDescent="0.25">
      <c r="E254" s="52"/>
      <c r="F254" s="52"/>
      <c r="G254" s="44"/>
      <c r="H254" s="44"/>
    </row>
    <row r="255" spans="2:8" x14ac:dyDescent="0.25">
      <c r="E255" s="52"/>
      <c r="F255" s="52"/>
      <c r="G255" s="44"/>
      <c r="H255" s="44"/>
    </row>
    <row r="256" spans="2:8" x14ac:dyDescent="0.25">
      <c r="E256" s="52"/>
      <c r="F256" s="52"/>
      <c r="G256" s="44"/>
      <c r="H256" s="44"/>
    </row>
    <row r="257" spans="5:8" x14ac:dyDescent="0.25">
      <c r="E257" s="52"/>
      <c r="F257" s="52"/>
      <c r="G257" s="44"/>
      <c r="H257" s="44"/>
    </row>
    <row r="258" spans="5:8" x14ac:dyDescent="0.25">
      <c r="E258" s="52"/>
      <c r="F258" s="52"/>
      <c r="G258" s="44"/>
      <c r="H258" s="44"/>
    </row>
    <row r="259" spans="5:8" x14ac:dyDescent="0.25">
      <c r="E259" s="52"/>
      <c r="F259" s="52"/>
      <c r="G259" s="44"/>
      <c r="H259" s="44"/>
    </row>
    <row r="260" spans="5:8" x14ac:dyDescent="0.25">
      <c r="E260" s="52"/>
      <c r="F260" s="52"/>
      <c r="G260" s="44"/>
      <c r="H260" s="44"/>
    </row>
    <row r="261" spans="5:8" x14ac:dyDescent="0.25">
      <c r="E261" s="52"/>
      <c r="F261" s="52"/>
      <c r="G261" s="44"/>
      <c r="H261" s="44"/>
    </row>
    <row r="262" spans="5:8" x14ac:dyDescent="0.25">
      <c r="E262" s="52"/>
      <c r="F262" s="52"/>
      <c r="G262" s="44"/>
      <c r="H262" s="44"/>
    </row>
    <row r="263" spans="5:8" x14ac:dyDescent="0.25">
      <c r="E263" s="52"/>
      <c r="F263" s="52"/>
      <c r="G263" s="44"/>
      <c r="H263" s="44"/>
    </row>
    <row r="264" spans="5:8" x14ac:dyDescent="0.25">
      <c r="E264" s="52"/>
      <c r="F264" s="52"/>
      <c r="G264" s="44"/>
      <c r="H264" s="44"/>
    </row>
    <row r="265" spans="5:8" x14ac:dyDescent="0.25">
      <c r="E265" s="52"/>
      <c r="F265" s="52"/>
      <c r="G265" s="44"/>
      <c r="H265" s="44"/>
    </row>
    <row r="266" spans="5:8" x14ac:dyDescent="0.25">
      <c r="E266" s="52"/>
      <c r="F266" s="52"/>
      <c r="G266" s="44"/>
      <c r="H266" s="44"/>
    </row>
    <row r="267" spans="5:8" x14ac:dyDescent="0.25">
      <c r="E267" s="52"/>
      <c r="F267" s="52"/>
      <c r="G267" s="44"/>
      <c r="H267" s="44"/>
    </row>
    <row r="268" spans="5:8" x14ac:dyDescent="0.25">
      <c r="E268" s="52"/>
      <c r="F268" s="52"/>
      <c r="G268" s="44"/>
      <c r="H268" s="44"/>
    </row>
    <row r="269" spans="5:8" x14ac:dyDescent="0.25">
      <c r="E269" s="52"/>
      <c r="F269" s="52"/>
      <c r="G269" s="44"/>
      <c r="H269" s="44"/>
    </row>
    <row r="270" spans="5:8" x14ac:dyDescent="0.25">
      <c r="E270" s="52"/>
      <c r="F270" s="52"/>
      <c r="G270" s="44"/>
      <c r="H270" s="44"/>
    </row>
    <row r="271" spans="5:8" x14ac:dyDescent="0.25">
      <c r="E271" s="52"/>
      <c r="F271" s="52"/>
      <c r="G271" s="44"/>
      <c r="H271" s="44"/>
    </row>
    <row r="272" spans="5:8" x14ac:dyDescent="0.25">
      <c r="E272" s="52"/>
      <c r="F272" s="52"/>
      <c r="G272" s="44"/>
      <c r="H272" s="44"/>
    </row>
    <row r="273" spans="5:8" x14ac:dyDescent="0.25">
      <c r="E273" s="52"/>
      <c r="F273" s="52"/>
      <c r="G273" s="44"/>
      <c r="H273" s="44"/>
    </row>
    <row r="274" spans="5:8" x14ac:dyDescent="0.25">
      <c r="E274" s="52"/>
      <c r="F274" s="52"/>
      <c r="G274" s="44"/>
      <c r="H274" s="44"/>
    </row>
    <row r="275" spans="5:8" x14ac:dyDescent="0.25">
      <c r="E275" s="52"/>
      <c r="F275" s="52"/>
      <c r="G275" s="44"/>
      <c r="H275" s="44"/>
    </row>
    <row r="276" spans="5:8" x14ac:dyDescent="0.25">
      <c r="E276" s="52"/>
      <c r="F276" s="52"/>
      <c r="G276" s="44"/>
      <c r="H276" s="44"/>
    </row>
    <row r="277" spans="5:8" x14ac:dyDescent="0.25">
      <c r="E277" s="52"/>
      <c r="F277" s="52"/>
      <c r="G277" s="44"/>
      <c r="H277" s="44"/>
    </row>
    <row r="278" spans="5:8" x14ac:dyDescent="0.25">
      <c r="E278" s="52"/>
      <c r="F278" s="52"/>
      <c r="G278" s="44"/>
      <c r="H278" s="44"/>
    </row>
    <row r="279" spans="5:8" x14ac:dyDescent="0.25">
      <c r="E279" s="52"/>
      <c r="F279" s="52"/>
      <c r="G279" s="44"/>
      <c r="H279" s="44"/>
    </row>
    <row r="280" spans="5:8" x14ac:dyDescent="0.25">
      <c r="E280" s="52"/>
      <c r="F280" s="52"/>
      <c r="G280" s="44"/>
      <c r="H280" s="44"/>
    </row>
    <row r="281" spans="5:8" x14ac:dyDescent="0.25">
      <c r="E281" s="52"/>
      <c r="F281" s="52"/>
      <c r="G281" s="44"/>
      <c r="H281" s="44"/>
    </row>
    <row r="282" spans="5:8" x14ac:dyDescent="0.25">
      <c r="E282" s="52"/>
      <c r="F282" s="52"/>
      <c r="G282" s="44"/>
      <c r="H282" s="44"/>
    </row>
    <row r="283" spans="5:8" x14ac:dyDescent="0.25">
      <c r="E283" s="52"/>
      <c r="F283" s="52"/>
      <c r="G283" s="44"/>
      <c r="H283" s="44"/>
    </row>
    <row r="284" spans="5:8" x14ac:dyDescent="0.25">
      <c r="E284" s="52"/>
      <c r="F284" s="52"/>
      <c r="G284" s="44"/>
      <c r="H284" s="44"/>
    </row>
    <row r="285" spans="5:8" x14ac:dyDescent="0.25">
      <c r="E285" s="52"/>
      <c r="F285" s="52"/>
      <c r="G285" s="44"/>
      <c r="H285" s="44"/>
    </row>
    <row r="286" spans="5:8" x14ac:dyDescent="0.25">
      <c r="E286" s="52"/>
      <c r="F286" s="52"/>
      <c r="G286" s="44"/>
      <c r="H286" s="44"/>
    </row>
    <row r="287" spans="5:8" x14ac:dyDescent="0.25">
      <c r="E287" s="52"/>
      <c r="F287" s="52"/>
      <c r="G287" s="44"/>
      <c r="H287" s="44"/>
    </row>
    <row r="288" spans="5:8" x14ac:dyDescent="0.25">
      <c r="E288" s="52"/>
      <c r="F288" s="52"/>
      <c r="G288" s="44"/>
      <c r="H288" s="44"/>
    </row>
  </sheetData>
  <pageMargins left="0.7" right="0.7" top="0.75" bottom="0.75" header="0.3" footer="0.3"/>
  <pageSetup paperSize="9" scale="55" fitToHeight="0" orientation="portrait" horizontalDpi="1200" verticalDpi="1200" r:id="rId1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0"/>
  <sheetViews>
    <sheetView zoomScaleNormal="100" workbookViewId="0">
      <pane xSplit="2" ySplit="3" topLeftCell="C31" activePane="bottomRight" state="frozen"/>
      <selection activeCell="B57" sqref="B57"/>
      <selection pane="topRight" activeCell="B57" sqref="B57"/>
      <selection pane="bottomLeft" activeCell="B57" sqref="B57"/>
      <selection pane="bottomRight"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36" customWidth="1"/>
    <col min="5" max="5" width="12.140625" style="36" bestFit="1" customWidth="1"/>
    <col min="6" max="6" width="11.42578125" style="36" bestFit="1" customWidth="1"/>
    <col min="7" max="7" width="12" style="29" bestFit="1" customWidth="1"/>
    <col min="8" max="8" width="11.5703125" style="29" bestFit="1" customWidth="1"/>
    <col min="9" max="9" width="9.140625" style="6"/>
    <col min="10" max="10" width="12.5703125" style="6" bestFit="1" customWidth="1"/>
    <col min="11" max="16384" width="9.140625" style="6"/>
  </cols>
  <sheetData>
    <row r="1" spans="1:12" s="140" customFormat="1" ht="34.5" x14ac:dyDescent="0.3">
      <c r="A1" s="227">
        <v>4</v>
      </c>
      <c r="B1" s="228" t="s">
        <v>348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s="70" customFormat="1" x14ac:dyDescent="0.25">
      <c r="A5" s="94"/>
      <c r="B5" s="165" t="s">
        <v>232</v>
      </c>
      <c r="C5" s="94"/>
      <c r="D5" s="52">
        <f>SUBTOTAL(9,D6:D7)</f>
        <v>4451.9973750000008</v>
      </c>
      <c r="E5" s="52">
        <f t="shared" ref="E5:H5" si="0">SUBTOTAL(9,E6:E7)</f>
        <v>4175.4720000000007</v>
      </c>
      <c r="F5" s="52">
        <f t="shared" si="0"/>
        <v>276.525375</v>
      </c>
      <c r="G5" s="52">
        <f t="shared" si="0"/>
        <v>0</v>
      </c>
      <c r="H5" s="52">
        <f t="shared" si="0"/>
        <v>0</v>
      </c>
    </row>
    <row r="6" spans="1:12" s="70" customFormat="1" x14ac:dyDescent="0.25">
      <c r="A6" s="94"/>
      <c r="B6" s="166" t="s">
        <v>23</v>
      </c>
      <c r="C6" s="94"/>
      <c r="D6" s="52">
        <f t="shared" ref="D6:D10" si="1">SUM(E6:H6)</f>
        <v>1018.8753750000001</v>
      </c>
      <c r="E6" s="52">
        <f>E68</f>
        <v>742.35</v>
      </c>
      <c r="F6" s="52">
        <f t="shared" ref="F6:H6" si="2">F68</f>
        <v>276.525375</v>
      </c>
      <c r="G6" s="52">
        <f t="shared" si="2"/>
        <v>0</v>
      </c>
      <c r="H6" s="52">
        <f t="shared" si="2"/>
        <v>0</v>
      </c>
    </row>
    <row r="7" spans="1:12" s="70" customFormat="1" x14ac:dyDescent="0.25">
      <c r="A7" s="94"/>
      <c r="B7" s="166" t="s">
        <v>191</v>
      </c>
      <c r="C7" s="94"/>
      <c r="D7" s="52">
        <f t="shared" si="1"/>
        <v>3433.1220000000008</v>
      </c>
      <c r="E7" s="52">
        <f>E72</f>
        <v>3433.1220000000008</v>
      </c>
      <c r="F7" s="52">
        <f t="shared" ref="F7:H7" si="3">F72</f>
        <v>0</v>
      </c>
      <c r="G7" s="52">
        <f t="shared" si="3"/>
        <v>0</v>
      </c>
      <c r="H7" s="52">
        <f t="shared" si="3"/>
        <v>0</v>
      </c>
    </row>
    <row r="8" spans="1:12" s="70" customFormat="1" x14ac:dyDescent="0.25">
      <c r="A8" s="94"/>
      <c r="B8" s="165" t="s">
        <v>233</v>
      </c>
      <c r="C8" s="94"/>
      <c r="D8" s="52">
        <f>SUBTOTAL(9,D9:D10)</f>
        <v>9312.5</v>
      </c>
      <c r="E8" s="52">
        <f t="shared" ref="E8:H8" si="4">SUBTOTAL(9,E9:E10)</f>
        <v>0</v>
      </c>
      <c r="F8" s="52">
        <f t="shared" si="4"/>
        <v>0</v>
      </c>
      <c r="G8" s="52">
        <f t="shared" si="4"/>
        <v>3500</v>
      </c>
      <c r="H8" s="52">
        <f t="shared" si="4"/>
        <v>5812.5</v>
      </c>
    </row>
    <row r="9" spans="1:12" s="70" customFormat="1" x14ac:dyDescent="0.25">
      <c r="A9" s="94"/>
      <c r="B9" s="166" t="s">
        <v>225</v>
      </c>
      <c r="C9" s="94"/>
      <c r="D9" s="52">
        <f t="shared" si="1"/>
        <v>1305</v>
      </c>
      <c r="E9" s="52">
        <f>E80</f>
        <v>0</v>
      </c>
      <c r="F9" s="52">
        <f t="shared" ref="F9:H9" si="5">F80</f>
        <v>0</v>
      </c>
      <c r="G9" s="52">
        <f t="shared" si="5"/>
        <v>630</v>
      </c>
      <c r="H9" s="52">
        <f t="shared" si="5"/>
        <v>675</v>
      </c>
    </row>
    <row r="10" spans="1:12" s="70" customFormat="1" x14ac:dyDescent="0.25">
      <c r="A10" s="94"/>
      <c r="B10" s="166" t="s">
        <v>381</v>
      </c>
      <c r="C10" s="94"/>
      <c r="D10" s="52">
        <f t="shared" si="1"/>
        <v>8007.5</v>
      </c>
      <c r="E10" s="52">
        <f>E84</f>
        <v>0</v>
      </c>
      <c r="F10" s="52">
        <f t="shared" ref="F10:H10" si="6">F84</f>
        <v>0</v>
      </c>
      <c r="G10" s="52">
        <f t="shared" si="6"/>
        <v>2870</v>
      </c>
      <c r="H10" s="52">
        <f t="shared" si="6"/>
        <v>5137.5</v>
      </c>
    </row>
    <row r="11" spans="1:12" s="70" customFormat="1" ht="14.25" thickBot="1" x14ac:dyDescent="0.3">
      <c r="A11" s="95"/>
      <c r="B11" s="95" t="s">
        <v>5</v>
      </c>
      <c r="C11" s="95"/>
      <c r="D11" s="55">
        <f>SUBTOTAL(9,D6:D10)</f>
        <v>13764.497375000001</v>
      </c>
      <c r="E11" s="55">
        <f>SUBTOTAL(9,E6:E10)</f>
        <v>4175.4720000000007</v>
      </c>
      <c r="F11" s="55">
        <f>SUBTOTAL(9,F6:F10)</f>
        <v>276.525375</v>
      </c>
      <c r="G11" s="55">
        <f>SUBTOTAL(9,G6:G10)</f>
        <v>3500</v>
      </c>
      <c r="H11" s="55">
        <f>SUBTOTAL(9,H6:H10)</f>
        <v>5812.5</v>
      </c>
    </row>
    <row r="12" spans="1:12" s="70" customFormat="1" ht="5.25" customHeight="1" x14ac:dyDescent="0.25">
      <c r="A12" s="94"/>
      <c r="B12" s="94"/>
      <c r="C12" s="94"/>
      <c r="D12" s="52"/>
      <c r="E12" s="52"/>
      <c r="F12" s="52"/>
      <c r="G12" s="44"/>
      <c r="H12" s="44"/>
    </row>
    <row r="13" spans="1:12" s="70" customFormat="1" x14ac:dyDescent="0.25">
      <c r="A13" s="93"/>
      <c r="B13" s="93" t="s">
        <v>11</v>
      </c>
      <c r="C13" s="93"/>
      <c r="D13" s="61"/>
      <c r="E13" s="61"/>
      <c r="F13" s="61"/>
      <c r="G13" s="62"/>
      <c r="H13" s="62"/>
      <c r="I13" s="69"/>
      <c r="J13" s="69"/>
      <c r="K13" s="69"/>
      <c r="L13" s="69"/>
    </row>
    <row r="14" spans="1:12" s="70" customFormat="1" x14ac:dyDescent="0.25">
      <c r="A14" s="94"/>
      <c r="B14" s="166" t="s">
        <v>10</v>
      </c>
      <c r="C14" s="94"/>
      <c r="D14" s="52">
        <f t="shared" ref="D14:D15" si="7">SUM(E14:H14)</f>
        <v>728</v>
      </c>
      <c r="E14" s="52">
        <f>E123</f>
        <v>0</v>
      </c>
      <c r="F14" s="52">
        <f t="shared" ref="F14:H14" si="8">F123</f>
        <v>0</v>
      </c>
      <c r="G14" s="52">
        <f t="shared" si="8"/>
        <v>364</v>
      </c>
      <c r="H14" s="52">
        <f t="shared" si="8"/>
        <v>364</v>
      </c>
    </row>
    <row r="15" spans="1:12" s="70" customFormat="1" x14ac:dyDescent="0.25">
      <c r="A15" s="94"/>
      <c r="B15" s="166" t="s">
        <v>130</v>
      </c>
      <c r="C15" s="94"/>
      <c r="D15" s="52">
        <f t="shared" si="7"/>
        <v>931.25</v>
      </c>
      <c r="E15" s="52">
        <f>(E11-E6-E7)*'Rates and GI'!$E$19</f>
        <v>0</v>
      </c>
      <c r="F15" s="52">
        <f>(F11-F6-F7)*'Rates and GI'!$E$19</f>
        <v>0</v>
      </c>
      <c r="G15" s="52">
        <f>(G11-G6-G7)*'Rates and GI'!$E$19</f>
        <v>350</v>
      </c>
      <c r="H15" s="52">
        <f>(H11-H6-H7)*'Rates and GI'!$E$19</f>
        <v>581.25</v>
      </c>
    </row>
    <row r="16" spans="1:12" s="70" customFormat="1" ht="14.25" thickBot="1" x14ac:dyDescent="0.3">
      <c r="A16" s="95"/>
      <c r="B16" s="95" t="s">
        <v>68</v>
      </c>
      <c r="C16" s="95"/>
      <c r="D16" s="55">
        <f>SUBTOTAL(9,D14:D15)</f>
        <v>1659.25</v>
      </c>
      <c r="E16" s="55">
        <f t="shared" ref="E16:H16" si="9">SUBTOTAL(9,E14:E15)</f>
        <v>0</v>
      </c>
      <c r="F16" s="55">
        <f t="shared" si="9"/>
        <v>0</v>
      </c>
      <c r="G16" s="55">
        <f t="shared" si="9"/>
        <v>714</v>
      </c>
      <c r="H16" s="55">
        <f t="shared" si="9"/>
        <v>945.25</v>
      </c>
    </row>
    <row r="17" spans="1:12" ht="6.75" customHeight="1" x14ac:dyDescent="0.25">
      <c r="I17" s="70"/>
    </row>
    <row r="18" spans="1:12" s="70" customFormat="1" x14ac:dyDescent="0.25">
      <c r="A18" s="93"/>
      <c r="B18" s="93" t="s">
        <v>12</v>
      </c>
      <c r="C18" s="93"/>
      <c r="D18" s="61"/>
      <c r="E18" s="61"/>
      <c r="F18" s="61"/>
      <c r="G18" s="62"/>
      <c r="H18" s="62"/>
      <c r="I18" s="69"/>
      <c r="J18" s="69"/>
      <c r="K18" s="69"/>
      <c r="L18" s="69"/>
    </row>
    <row r="19" spans="1:12" s="70" customFormat="1" x14ac:dyDescent="0.25">
      <c r="A19" s="94"/>
      <c r="B19" s="166" t="s">
        <v>192</v>
      </c>
      <c r="C19" s="94"/>
      <c r="D19" s="52">
        <f t="shared" ref="D19:D20" si="10">SUM(E19:H19)</f>
        <v>712.48985000000005</v>
      </c>
      <c r="E19" s="52">
        <f>E131</f>
        <v>712.48985000000005</v>
      </c>
      <c r="F19" s="52">
        <f t="shared" ref="F19:H19" si="11">F131</f>
        <v>0</v>
      </c>
      <c r="G19" s="52">
        <f t="shared" si="11"/>
        <v>0</v>
      </c>
      <c r="H19" s="52">
        <f t="shared" si="11"/>
        <v>0</v>
      </c>
    </row>
    <row r="20" spans="1:12" s="70" customFormat="1" x14ac:dyDescent="0.25">
      <c r="A20" s="94"/>
      <c r="B20" s="166" t="s">
        <v>73</v>
      </c>
      <c r="C20" s="94"/>
      <c r="D20" s="52">
        <f t="shared" si="10"/>
        <v>0</v>
      </c>
      <c r="E20" s="52">
        <f>E134</f>
        <v>0</v>
      </c>
      <c r="F20" s="52">
        <f t="shared" ref="F20:H20" si="12">F134</f>
        <v>0</v>
      </c>
      <c r="G20" s="52">
        <f t="shared" si="12"/>
        <v>0</v>
      </c>
      <c r="H20" s="52">
        <f t="shared" si="12"/>
        <v>0</v>
      </c>
    </row>
    <row r="21" spans="1:12" s="70" customFormat="1" ht="14.25" thickBot="1" x14ac:dyDescent="0.3">
      <c r="A21" s="95"/>
      <c r="B21" s="95" t="s">
        <v>76</v>
      </c>
      <c r="C21" s="95"/>
      <c r="D21" s="55">
        <f>SUBTOTAL(9,D19:D20)</f>
        <v>712.48985000000005</v>
      </c>
      <c r="E21" s="55">
        <f t="shared" ref="E21:H21" si="13">SUBTOTAL(9,E19:E20)</f>
        <v>712.48985000000005</v>
      </c>
      <c r="F21" s="55">
        <f t="shared" si="13"/>
        <v>0</v>
      </c>
      <c r="G21" s="55">
        <f t="shared" si="13"/>
        <v>0</v>
      </c>
      <c r="H21" s="55">
        <f t="shared" si="13"/>
        <v>0</v>
      </c>
    </row>
    <row r="22" spans="1:12" s="70" customFormat="1" ht="4.5" customHeight="1" x14ac:dyDescent="0.25">
      <c r="A22" s="94"/>
      <c r="B22" s="94"/>
      <c r="C22" s="94"/>
      <c r="D22" s="52"/>
      <c r="E22" s="52"/>
      <c r="F22" s="52"/>
      <c r="G22" s="44"/>
      <c r="H22" s="44"/>
    </row>
    <row r="23" spans="1:12" s="70" customFormat="1" x14ac:dyDescent="0.25">
      <c r="A23" s="93"/>
      <c r="B23" s="93" t="s">
        <v>156</v>
      </c>
      <c r="C23" s="93"/>
      <c r="D23" s="61"/>
      <c r="E23" s="61"/>
      <c r="F23" s="61"/>
      <c r="G23" s="62"/>
      <c r="H23" s="62"/>
      <c r="I23" s="69"/>
      <c r="J23" s="69"/>
      <c r="K23" s="69"/>
      <c r="L23" s="69"/>
    </row>
    <row r="24" spans="1:12" s="70" customFormat="1" x14ac:dyDescent="0.25">
      <c r="A24" s="94"/>
      <c r="B24" s="166" t="s">
        <v>148</v>
      </c>
      <c r="C24" s="94"/>
      <c r="D24" s="52">
        <f t="shared" ref="D24" si="14">SUM(E24:H24)</f>
        <v>815.65000000000009</v>
      </c>
      <c r="E24" s="52">
        <f>E136</f>
        <v>0</v>
      </c>
      <c r="F24" s="52">
        <f t="shared" ref="F24:H24" si="15">F136</f>
        <v>0</v>
      </c>
      <c r="G24" s="52">
        <f t="shared" si="15"/>
        <v>519.05000000000007</v>
      </c>
      <c r="H24" s="52">
        <f t="shared" si="15"/>
        <v>296.60000000000002</v>
      </c>
    </row>
    <row r="25" spans="1:12" s="70" customFormat="1" x14ac:dyDescent="0.25">
      <c r="A25" s="94"/>
      <c r="B25" s="166" t="s">
        <v>157</v>
      </c>
      <c r="C25" s="94"/>
      <c r="D25" s="52">
        <f t="shared" ref="D25" si="16">SUM(E25:H25)</f>
        <v>0</v>
      </c>
      <c r="E25" s="52"/>
      <c r="F25" s="52"/>
      <c r="G25" s="44"/>
      <c r="H25" s="44"/>
    </row>
    <row r="26" spans="1:12" s="70" customFormat="1" ht="14.25" thickBot="1" x14ac:dyDescent="0.3">
      <c r="A26" s="95"/>
      <c r="B26" s="95" t="s">
        <v>158</v>
      </c>
      <c r="C26" s="95"/>
      <c r="D26" s="55">
        <f>SUBTOTAL(9,D24:D25)</f>
        <v>815.65000000000009</v>
      </c>
      <c r="E26" s="55">
        <f t="shared" ref="E26:H26" si="17">SUBTOTAL(9,E24:E25)</f>
        <v>0</v>
      </c>
      <c r="F26" s="55">
        <f t="shared" si="17"/>
        <v>0</v>
      </c>
      <c r="G26" s="55">
        <f t="shared" si="17"/>
        <v>519.05000000000007</v>
      </c>
      <c r="H26" s="55">
        <f t="shared" si="17"/>
        <v>296.60000000000002</v>
      </c>
    </row>
    <row r="27" spans="1:12" ht="4.5" customHeight="1" x14ac:dyDescent="0.25"/>
    <row r="28" spans="1:12" s="70" customFormat="1" x14ac:dyDescent="0.25">
      <c r="A28" s="93"/>
      <c r="B28" s="93" t="s">
        <v>74</v>
      </c>
      <c r="C28" s="93"/>
      <c r="D28" s="61"/>
      <c r="E28" s="61"/>
      <c r="F28" s="61"/>
      <c r="G28" s="62"/>
      <c r="H28" s="62"/>
      <c r="I28" s="69"/>
      <c r="J28" s="69"/>
      <c r="K28" s="69"/>
      <c r="L28" s="69"/>
    </row>
    <row r="29" spans="1:12" s="70" customFormat="1" x14ac:dyDescent="0.25">
      <c r="A29" s="94"/>
      <c r="B29" s="166" t="s">
        <v>24</v>
      </c>
      <c r="C29" s="94"/>
      <c r="D29" s="52">
        <f>SUM(E29:H29)</f>
        <v>180</v>
      </c>
      <c r="E29" s="52">
        <f>E145</f>
        <v>180</v>
      </c>
      <c r="F29" s="52">
        <f t="shared" ref="F29:H29" si="18">F145</f>
        <v>0</v>
      </c>
      <c r="G29" s="52">
        <f t="shared" si="18"/>
        <v>0</v>
      </c>
      <c r="H29" s="52">
        <f t="shared" si="18"/>
        <v>0</v>
      </c>
    </row>
    <row r="30" spans="1:12" s="70" customFormat="1" x14ac:dyDescent="0.25">
      <c r="A30" s="94"/>
      <c r="B30" s="166" t="s">
        <v>25</v>
      </c>
      <c r="C30" s="94"/>
      <c r="D30" s="52">
        <f t="shared" ref="D30:D31" si="19">SUM(E30:H30)</f>
        <v>0</v>
      </c>
      <c r="E30" s="52">
        <f>E185</f>
        <v>0</v>
      </c>
      <c r="F30" s="52">
        <f>F185</f>
        <v>0</v>
      </c>
      <c r="G30" s="52">
        <f>G185</f>
        <v>0</v>
      </c>
      <c r="H30" s="52">
        <f>H185</f>
        <v>0</v>
      </c>
    </row>
    <row r="31" spans="1:12" s="70" customFormat="1" x14ac:dyDescent="0.25">
      <c r="A31" s="94"/>
      <c r="B31" s="17" t="s">
        <v>432</v>
      </c>
      <c r="C31" s="94"/>
      <c r="D31" s="52">
        <f t="shared" si="19"/>
        <v>0</v>
      </c>
      <c r="E31" s="52"/>
      <c r="F31" s="52"/>
      <c r="G31" s="44"/>
      <c r="H31" s="44"/>
    </row>
    <row r="32" spans="1:12" s="70" customFormat="1" ht="14.25" thickBot="1" x14ac:dyDescent="0.3">
      <c r="A32" s="95"/>
      <c r="B32" s="95" t="s">
        <v>75</v>
      </c>
      <c r="C32" s="95"/>
      <c r="D32" s="55">
        <f>SUBTOTAL(9,D29:D31)</f>
        <v>180</v>
      </c>
      <c r="E32" s="55">
        <f t="shared" ref="E32:H32" si="20">SUBTOTAL(9,E29:E31)</f>
        <v>180</v>
      </c>
      <c r="F32" s="55">
        <f t="shared" si="20"/>
        <v>0</v>
      </c>
      <c r="G32" s="55">
        <f t="shared" si="20"/>
        <v>0</v>
      </c>
      <c r="H32" s="55">
        <f t="shared" si="20"/>
        <v>0</v>
      </c>
    </row>
    <row r="33" spans="1:12" ht="6" customHeight="1" x14ac:dyDescent="0.25"/>
    <row r="34" spans="1:12" x14ac:dyDescent="0.25">
      <c r="A34" s="16"/>
      <c r="B34" s="16" t="s">
        <v>7</v>
      </c>
      <c r="C34" s="16"/>
      <c r="D34" s="34"/>
      <c r="E34" s="34"/>
      <c r="F34" s="34"/>
      <c r="G34" s="35"/>
      <c r="H34" s="35"/>
      <c r="I34" s="12"/>
      <c r="J34" s="12"/>
      <c r="K34" s="12"/>
      <c r="L34" s="12"/>
    </row>
    <row r="35" spans="1:12" x14ac:dyDescent="0.25">
      <c r="B35" s="17" t="s">
        <v>58</v>
      </c>
      <c r="D35" s="52">
        <f t="shared" ref="D35:D39" si="21">SUM(E35:H35)</f>
        <v>0</v>
      </c>
      <c r="E35" s="52">
        <f>F150</f>
        <v>0</v>
      </c>
      <c r="F35" s="52">
        <f t="shared" ref="F35:H35" si="22">G150</f>
        <v>0</v>
      </c>
      <c r="G35" s="52">
        <f t="shared" si="22"/>
        <v>0</v>
      </c>
      <c r="H35" s="52">
        <f t="shared" si="22"/>
        <v>0</v>
      </c>
      <c r="J35" s="111"/>
    </row>
    <row r="36" spans="1:12" x14ac:dyDescent="0.25">
      <c r="B36" s="17" t="s">
        <v>26</v>
      </c>
      <c r="D36" s="52">
        <f t="shared" si="21"/>
        <v>11000</v>
      </c>
      <c r="E36" s="52">
        <f>E156</f>
        <v>0</v>
      </c>
      <c r="F36" s="52">
        <f>F156</f>
        <v>0</v>
      </c>
      <c r="G36" s="52">
        <f t="shared" ref="G36:H36" si="23">G156</f>
        <v>11000</v>
      </c>
      <c r="H36" s="52">
        <f t="shared" si="23"/>
        <v>0</v>
      </c>
    </row>
    <row r="37" spans="1:12" x14ac:dyDescent="0.25">
      <c r="B37" s="17" t="s">
        <v>8</v>
      </c>
      <c r="D37" s="52">
        <f t="shared" si="21"/>
        <v>5500</v>
      </c>
      <c r="E37" s="52">
        <f>E171</f>
        <v>0</v>
      </c>
      <c r="F37" s="52">
        <f t="shared" ref="F37:H37" si="24">F171</f>
        <v>0</v>
      </c>
      <c r="G37" s="52">
        <f t="shared" si="24"/>
        <v>5500</v>
      </c>
      <c r="H37" s="52">
        <f t="shared" si="24"/>
        <v>0</v>
      </c>
    </row>
    <row r="38" spans="1:12" x14ac:dyDescent="0.25">
      <c r="B38" s="17" t="s">
        <v>318</v>
      </c>
      <c r="D38" s="52">
        <f t="shared" si="21"/>
        <v>0</v>
      </c>
      <c r="E38" s="52">
        <f>E175</f>
        <v>0</v>
      </c>
      <c r="F38" s="52">
        <f t="shared" ref="F38:H38" si="25">F175</f>
        <v>0</v>
      </c>
      <c r="G38" s="52">
        <f t="shared" si="25"/>
        <v>0</v>
      </c>
      <c r="H38" s="52">
        <f t="shared" si="25"/>
        <v>0</v>
      </c>
    </row>
    <row r="39" spans="1:12" x14ac:dyDescent="0.25">
      <c r="B39" s="17" t="s">
        <v>9</v>
      </c>
      <c r="D39" s="52">
        <f t="shared" si="21"/>
        <v>0</v>
      </c>
      <c r="E39" s="52"/>
      <c r="F39" s="52"/>
      <c r="G39" s="44"/>
      <c r="H39" s="44"/>
    </row>
    <row r="40" spans="1:12" ht="14.25" thickBot="1" x14ac:dyDescent="0.3">
      <c r="A40" s="13"/>
      <c r="B40" s="13" t="s">
        <v>69</v>
      </c>
      <c r="C40" s="13"/>
      <c r="D40" s="55">
        <f>SUBTOTAL(9,D35:D39)</f>
        <v>16500</v>
      </c>
      <c r="E40" s="55">
        <f t="shared" ref="E40:H40" si="26">SUBTOTAL(9,E35:E39)</f>
        <v>0</v>
      </c>
      <c r="F40" s="55">
        <f t="shared" si="26"/>
        <v>0</v>
      </c>
      <c r="G40" s="55">
        <f>SUBTOTAL(9,G35:G39)</f>
        <v>16500</v>
      </c>
      <c r="H40" s="55">
        <f t="shared" si="26"/>
        <v>0</v>
      </c>
    </row>
    <row r="41" spans="1:12" ht="7.5" customHeight="1" x14ac:dyDescent="0.25"/>
    <row r="42" spans="1:12" x14ac:dyDescent="0.25">
      <c r="A42" s="16"/>
      <c r="B42" s="16" t="s">
        <v>16</v>
      </c>
      <c r="C42" s="93"/>
      <c r="D42" s="61"/>
      <c r="E42" s="61"/>
      <c r="F42" s="61"/>
      <c r="G42" s="62"/>
      <c r="H42" s="62"/>
      <c r="I42" s="12"/>
      <c r="J42" s="12"/>
      <c r="K42" s="12"/>
      <c r="L42" s="12"/>
    </row>
    <row r="43" spans="1:12" x14ac:dyDescent="0.25">
      <c r="A43" s="2"/>
      <c r="B43" s="2" t="s">
        <v>244</v>
      </c>
      <c r="C43" s="1"/>
      <c r="D43" s="52">
        <f t="shared" ref="D43:D47" si="27">SUM(E43:H43)</f>
        <v>0</v>
      </c>
      <c r="E43" s="52">
        <f>E194</f>
        <v>0</v>
      </c>
      <c r="F43" s="52">
        <f t="shared" ref="F43:H46" si="28">F194</f>
        <v>0</v>
      </c>
      <c r="G43" s="52">
        <f t="shared" si="28"/>
        <v>0</v>
      </c>
      <c r="H43" s="52">
        <f t="shared" si="28"/>
        <v>0</v>
      </c>
    </row>
    <row r="44" spans="1:12" x14ac:dyDescent="0.25">
      <c r="A44" s="2"/>
      <c r="B44" s="2" t="s">
        <v>18</v>
      </c>
      <c r="C44" s="1"/>
      <c r="D44" s="52">
        <f t="shared" si="27"/>
        <v>0</v>
      </c>
      <c r="E44" s="52">
        <f>E195</f>
        <v>0</v>
      </c>
      <c r="F44" s="52">
        <f t="shared" si="28"/>
        <v>0</v>
      </c>
      <c r="G44" s="52">
        <f t="shared" si="28"/>
        <v>0</v>
      </c>
      <c r="H44" s="52">
        <f t="shared" si="28"/>
        <v>0</v>
      </c>
    </row>
    <row r="45" spans="1:12" x14ac:dyDescent="0.25">
      <c r="A45" s="2"/>
      <c r="B45" s="2" t="s">
        <v>19</v>
      </c>
      <c r="C45" s="1"/>
      <c r="D45" s="52">
        <f t="shared" si="27"/>
        <v>0</v>
      </c>
      <c r="E45" s="52">
        <f>E196</f>
        <v>0</v>
      </c>
      <c r="F45" s="52">
        <f t="shared" si="28"/>
        <v>0</v>
      </c>
      <c r="G45" s="52">
        <f t="shared" si="28"/>
        <v>0</v>
      </c>
      <c r="H45" s="52">
        <f t="shared" si="28"/>
        <v>0</v>
      </c>
    </row>
    <row r="46" spans="1:12" x14ac:dyDescent="0.25">
      <c r="A46" s="2"/>
      <c r="B46" s="2" t="s">
        <v>22</v>
      </c>
      <c r="C46" s="1"/>
      <c r="D46" s="52">
        <f t="shared" si="27"/>
        <v>0</v>
      </c>
      <c r="E46" s="52">
        <f>E197</f>
        <v>0</v>
      </c>
      <c r="F46" s="52">
        <f t="shared" si="28"/>
        <v>0</v>
      </c>
      <c r="G46" s="52">
        <f t="shared" si="28"/>
        <v>0</v>
      </c>
      <c r="H46" s="52">
        <f t="shared" si="28"/>
        <v>0</v>
      </c>
    </row>
    <row r="47" spans="1:12" x14ac:dyDescent="0.25">
      <c r="A47" s="3"/>
      <c r="B47" s="3" t="s">
        <v>13</v>
      </c>
      <c r="C47" s="96"/>
      <c r="D47" s="52">
        <f t="shared" si="27"/>
        <v>0</v>
      </c>
      <c r="E47" s="52">
        <f>E199</f>
        <v>0</v>
      </c>
      <c r="F47" s="52">
        <f t="shared" ref="F47:H47" si="29">F199</f>
        <v>0</v>
      </c>
      <c r="G47" s="52">
        <f t="shared" si="29"/>
        <v>0</v>
      </c>
      <c r="H47" s="52">
        <f t="shared" si="29"/>
        <v>0</v>
      </c>
    </row>
    <row r="48" spans="1:12" ht="14.25" thickBot="1" x14ac:dyDescent="0.3">
      <c r="A48" s="13"/>
      <c r="B48" s="13" t="s">
        <v>70</v>
      </c>
      <c r="C48" s="95"/>
      <c r="D48" s="55">
        <f>SUBTOTAL(9,D43:D47)</f>
        <v>0</v>
      </c>
      <c r="E48" s="55">
        <f>SUBTOTAL(9,E43:E47)</f>
        <v>0</v>
      </c>
      <c r="F48" s="55">
        <f>SUBTOTAL(9,F43:F47)</f>
        <v>0</v>
      </c>
      <c r="G48" s="55">
        <f>SUBTOTAL(9,G43:G47)</f>
        <v>0</v>
      </c>
      <c r="H48" s="55">
        <f>SUBTOTAL(9,H43:H47)</f>
        <v>0</v>
      </c>
    </row>
    <row r="49" spans="1:12" ht="7.5" customHeight="1" x14ac:dyDescent="0.25">
      <c r="A49" s="3"/>
      <c r="B49" s="6"/>
      <c r="C49" s="96"/>
      <c r="D49" s="52"/>
      <c r="E49" s="52"/>
      <c r="F49" s="52"/>
      <c r="G49" s="44"/>
      <c r="H49" s="44"/>
    </row>
    <row r="50" spans="1:12" x14ac:dyDescent="0.25">
      <c r="A50" s="16"/>
      <c r="B50" s="16" t="s">
        <v>20</v>
      </c>
      <c r="C50" s="93"/>
      <c r="D50" s="61"/>
      <c r="E50" s="61"/>
      <c r="F50" s="61"/>
      <c r="G50" s="62"/>
      <c r="H50" s="62"/>
      <c r="I50" s="12"/>
      <c r="J50" s="12"/>
      <c r="K50" s="12"/>
      <c r="L50" s="12"/>
    </row>
    <row r="51" spans="1:12" x14ac:dyDescent="0.25">
      <c r="A51" s="3"/>
      <c r="B51" s="3" t="s">
        <v>218</v>
      </c>
      <c r="C51" s="96"/>
      <c r="D51" s="52">
        <f t="shared" ref="D51:D52" si="30">SUM(E51:H51)</f>
        <v>0</v>
      </c>
      <c r="E51" s="52">
        <f>E213</f>
        <v>0</v>
      </c>
      <c r="F51" s="52">
        <f t="shared" ref="F51:H51" si="31">F213</f>
        <v>0</v>
      </c>
      <c r="G51" s="52">
        <f t="shared" si="31"/>
        <v>0</v>
      </c>
      <c r="H51" s="52">
        <f t="shared" si="31"/>
        <v>0</v>
      </c>
    </row>
    <row r="52" spans="1:12" x14ac:dyDescent="0.25">
      <c r="A52" s="3"/>
      <c r="B52" s="3" t="s">
        <v>21</v>
      </c>
      <c r="C52" s="96"/>
      <c r="D52" s="52">
        <f t="shared" si="30"/>
        <v>0</v>
      </c>
      <c r="E52" s="52">
        <f>E203</f>
        <v>0</v>
      </c>
      <c r="F52" s="52">
        <f t="shared" ref="F52:H52" si="32">F203</f>
        <v>0</v>
      </c>
      <c r="G52" s="52">
        <f t="shared" si="32"/>
        <v>0</v>
      </c>
      <c r="H52" s="52">
        <f t="shared" si="32"/>
        <v>0</v>
      </c>
    </row>
    <row r="53" spans="1:12" ht="14.25" thickBot="1" x14ac:dyDescent="0.3">
      <c r="A53" s="13"/>
      <c r="B53" s="13" t="s">
        <v>71</v>
      </c>
      <c r="C53" s="95"/>
      <c r="D53" s="55">
        <f>SUBTOTAL(9,D51:D52)</f>
        <v>0</v>
      </c>
      <c r="E53" s="55">
        <f>SUBTOTAL(9,E51:E52)</f>
        <v>0</v>
      </c>
      <c r="F53" s="55">
        <f>SUBTOTAL(9,F51:F52)</f>
        <v>0</v>
      </c>
      <c r="G53" s="55">
        <f>SUBTOTAL(9,G51:G52)</f>
        <v>0</v>
      </c>
      <c r="H53" s="55">
        <f>SUBTOTAL(9,H51:H52)</f>
        <v>0</v>
      </c>
    </row>
    <row r="54" spans="1:12" ht="8.25" customHeight="1" x14ac:dyDescent="0.25">
      <c r="A54" s="1"/>
      <c r="B54" s="1"/>
      <c r="C54" s="1"/>
    </row>
    <row r="55" spans="1:12" ht="14.25" thickBot="1" x14ac:dyDescent="0.3">
      <c r="A55" s="56"/>
      <c r="B55" s="56" t="s">
        <v>160</v>
      </c>
      <c r="C55" s="56"/>
      <c r="D55" s="57">
        <f>SUBTOTAL(9,D6:D53)</f>
        <v>33631.887224999999</v>
      </c>
      <c r="E55" s="57">
        <f>SUBTOTAL(9,E6:E53)</f>
        <v>5067.9618500000006</v>
      </c>
      <c r="F55" s="57">
        <f>SUBTOTAL(9,F6:F53)</f>
        <v>276.525375</v>
      </c>
      <c r="G55" s="57">
        <f>SUBTOTAL(9,G6:G53)</f>
        <v>21233.05</v>
      </c>
      <c r="H55" s="57">
        <f>SUBTOTAL(9,H6:H53)</f>
        <v>7054.35</v>
      </c>
    </row>
    <row r="56" spans="1:12" ht="14.25" thickBot="1" x14ac:dyDescent="0.3">
      <c r="A56" s="1"/>
      <c r="B56" s="1"/>
      <c r="C56" s="1"/>
    </row>
    <row r="57" spans="1:12" ht="18" thickTop="1" x14ac:dyDescent="0.3">
      <c r="A57" s="224"/>
      <c r="B57" s="225" t="s">
        <v>27</v>
      </c>
      <c r="C57" s="225"/>
      <c r="D57" s="226"/>
      <c r="E57" s="226"/>
      <c r="F57" s="226"/>
      <c r="G57" s="226"/>
      <c r="H57" s="226"/>
    </row>
    <row r="58" spans="1:12" ht="6" customHeight="1" x14ac:dyDescent="0.25">
      <c r="A58" s="1"/>
      <c r="B58" s="1"/>
      <c r="C58" s="1"/>
    </row>
    <row r="59" spans="1:12" x14ac:dyDescent="0.25">
      <c r="A59" s="120"/>
      <c r="B59" s="120" t="s">
        <v>67</v>
      </c>
      <c r="C59" s="120" t="s">
        <v>66</v>
      </c>
      <c r="D59" s="121"/>
      <c r="E59" s="122">
        <f>start</f>
        <v>43466</v>
      </c>
      <c r="F59" s="122">
        <f>EOMONTH(E59,11)+1</f>
        <v>43831</v>
      </c>
      <c r="G59" s="122">
        <f>EOMONTH(F59,11)+1</f>
        <v>44197</v>
      </c>
      <c r="H59" s="122">
        <f>EOMONTH(G59,11)+1</f>
        <v>44562</v>
      </c>
    </row>
    <row r="60" spans="1:12" ht="6.75" customHeight="1" x14ac:dyDescent="0.25"/>
    <row r="61" spans="1:12" x14ac:dyDescent="0.25">
      <c r="A61" s="58"/>
      <c r="B61" s="58" t="s">
        <v>232</v>
      </c>
      <c r="C61" s="58"/>
      <c r="D61" s="59"/>
      <c r="E61" s="59"/>
      <c r="F61" s="59"/>
      <c r="G61" s="59"/>
      <c r="H61" s="59"/>
    </row>
    <row r="62" spans="1:12" hidden="1" x14ac:dyDescent="0.25">
      <c r="B62" s="5" t="s">
        <v>2</v>
      </c>
      <c r="E62" s="52">
        <f>E63*E64*E65*E66</f>
        <v>0</v>
      </c>
      <c r="F62" s="52">
        <f t="shared" ref="F62:H62" si="33">F63*F64*F65*F66</f>
        <v>0</v>
      </c>
      <c r="G62" s="52">
        <f t="shared" si="33"/>
        <v>0</v>
      </c>
      <c r="H62" s="52">
        <f t="shared" si="33"/>
        <v>0</v>
      </c>
    </row>
    <row r="63" spans="1:12" hidden="1" x14ac:dyDescent="0.25">
      <c r="A63" s="9"/>
      <c r="B63" s="9" t="s">
        <v>37</v>
      </c>
      <c r="C63" s="9"/>
      <c r="E63" s="52">
        <v>0</v>
      </c>
      <c r="F63" s="52">
        <v>0</v>
      </c>
      <c r="G63" s="52">
        <v>0</v>
      </c>
      <c r="H63" s="52">
        <v>0</v>
      </c>
    </row>
    <row r="64" spans="1:12" hidden="1" x14ac:dyDescent="0.25">
      <c r="A64" s="9"/>
      <c r="B64" s="9" t="s">
        <v>38</v>
      </c>
      <c r="C64" s="9"/>
      <c r="D64" s="37"/>
      <c r="E64" s="53">
        <v>0</v>
      </c>
      <c r="F64" s="76">
        <f>3/22</f>
        <v>0.13636363636363635</v>
      </c>
      <c r="G64" s="76">
        <f t="shared" ref="G64:H64" si="34">3/22</f>
        <v>0.13636363636363635</v>
      </c>
      <c r="H64" s="76">
        <f t="shared" si="34"/>
        <v>0.13636363636363635</v>
      </c>
    </row>
    <row r="65" spans="1:12" hidden="1" x14ac:dyDescent="0.25">
      <c r="A65" s="9"/>
      <c r="B65" s="9" t="s">
        <v>39</v>
      </c>
      <c r="C65" s="9"/>
      <c r="E65" s="52">
        <f>'Rates and GI'!D11</f>
        <v>0</v>
      </c>
      <c r="F65" s="52">
        <f>E65*(1+index)</f>
        <v>0</v>
      </c>
      <c r="G65" s="52">
        <f>F65*(1+index)</f>
        <v>0</v>
      </c>
      <c r="H65" s="52">
        <f>G65*(1+index)</f>
        <v>0</v>
      </c>
    </row>
    <row r="66" spans="1:12" hidden="1" x14ac:dyDescent="0.25">
      <c r="A66" s="9"/>
      <c r="B66" s="9" t="s">
        <v>40</v>
      </c>
      <c r="C66" s="9"/>
      <c r="E66" s="54">
        <v>0</v>
      </c>
      <c r="F66" s="52">
        <v>4</v>
      </c>
      <c r="G66" s="44">
        <v>12</v>
      </c>
      <c r="H66" s="44">
        <v>12</v>
      </c>
    </row>
    <row r="67" spans="1:12" hidden="1" x14ac:dyDescent="0.25">
      <c r="A67" s="9"/>
      <c r="B67" s="9"/>
      <c r="C67" s="9"/>
      <c r="E67" s="52"/>
      <c r="F67" s="52"/>
      <c r="G67" s="44"/>
      <c r="H67" s="44"/>
    </row>
    <row r="68" spans="1:12" x14ac:dyDescent="0.25">
      <c r="B68" s="5" t="s">
        <v>23</v>
      </c>
      <c r="E68" s="52">
        <f>E69*E70</f>
        <v>742.35</v>
      </c>
      <c r="F68" s="52">
        <f t="shared" ref="F68:H68" si="35">F69*F70</f>
        <v>276.525375</v>
      </c>
      <c r="G68" s="52">
        <f t="shared" si="35"/>
        <v>0</v>
      </c>
      <c r="H68" s="52">
        <f t="shared" si="35"/>
        <v>0</v>
      </c>
      <c r="I68" s="70"/>
    </row>
    <row r="69" spans="1:12" x14ac:dyDescent="0.25">
      <c r="A69" s="9"/>
      <c r="B69" s="9" t="s">
        <v>129</v>
      </c>
      <c r="C69" s="9" t="s">
        <v>128</v>
      </c>
      <c r="E69" s="52">
        <v>42</v>
      </c>
      <c r="F69" s="52">
        <v>15</v>
      </c>
      <c r="G69" s="52">
        <v>0</v>
      </c>
      <c r="H69" s="52">
        <v>0</v>
      </c>
      <c r="I69" s="70"/>
    </row>
    <row r="70" spans="1:12" x14ac:dyDescent="0.25">
      <c r="A70" s="9"/>
      <c r="B70" s="9" t="s">
        <v>41</v>
      </c>
      <c r="C70" s="9"/>
      <c r="E70" s="52">
        <f>'Rates and GI'!D12</f>
        <v>17.675000000000001</v>
      </c>
      <c r="F70" s="52">
        <f>E70*(1+index)</f>
        <v>18.435025</v>
      </c>
      <c r="G70" s="52">
        <f>F70*(1+index)</f>
        <v>19.227731074999998</v>
      </c>
      <c r="H70" s="52">
        <f>G70*(1+index)</f>
        <v>20.054523511224996</v>
      </c>
      <c r="I70" s="70"/>
    </row>
    <row r="71" spans="1:12" x14ac:dyDescent="0.25">
      <c r="E71" s="52"/>
      <c r="F71" s="52"/>
      <c r="G71" s="44"/>
      <c r="H71" s="44"/>
      <c r="I71" s="70"/>
    </row>
    <row r="72" spans="1:12" s="7" customFormat="1" x14ac:dyDescent="0.25">
      <c r="A72" s="5"/>
      <c r="B72" s="5" t="s">
        <v>191</v>
      </c>
      <c r="C72" s="5"/>
      <c r="D72" s="36"/>
      <c r="E72" s="52">
        <f>E73*E74</f>
        <v>3433.1220000000008</v>
      </c>
      <c r="F72" s="52">
        <f t="shared" ref="F72:H72" si="36">F73*F74</f>
        <v>0</v>
      </c>
      <c r="G72" s="52">
        <f t="shared" si="36"/>
        <v>0</v>
      </c>
      <c r="H72" s="52">
        <f t="shared" si="36"/>
        <v>0</v>
      </c>
      <c r="I72" s="70"/>
      <c r="J72" s="6"/>
      <c r="K72" s="6"/>
      <c r="L72" s="6"/>
    </row>
    <row r="73" spans="1:12" s="7" customFormat="1" x14ac:dyDescent="0.25">
      <c r="A73" s="9"/>
      <c r="B73" s="9" t="s">
        <v>193</v>
      </c>
      <c r="C73" s="9" t="s">
        <v>128</v>
      </c>
      <c r="D73" s="36"/>
      <c r="E73" s="52">
        <v>21</v>
      </c>
      <c r="F73" s="52">
        <v>0</v>
      </c>
      <c r="G73" s="52">
        <v>0</v>
      </c>
      <c r="H73" s="52">
        <v>0</v>
      </c>
      <c r="I73" s="70"/>
      <c r="J73" s="6"/>
      <c r="K73" s="6"/>
      <c r="L73" s="6"/>
    </row>
    <row r="74" spans="1:12" s="7" customFormat="1" x14ac:dyDescent="0.25">
      <c r="A74" s="9"/>
      <c r="B74" s="9" t="s">
        <v>41</v>
      </c>
      <c r="C74" s="9"/>
      <c r="D74" s="36"/>
      <c r="E74" s="52">
        <f>'Rates and GI'!D13</f>
        <v>163.48200000000003</v>
      </c>
      <c r="F74" s="52">
        <f>E74*(1+index)</f>
        <v>170.51172600000001</v>
      </c>
      <c r="G74" s="52">
        <f>F74*(1+index)</f>
        <v>177.84373021799999</v>
      </c>
      <c r="H74" s="52">
        <f>G74*(1+index)</f>
        <v>185.49101061737397</v>
      </c>
      <c r="I74" s="70"/>
      <c r="J74" s="6"/>
      <c r="K74" s="6"/>
      <c r="L74" s="6"/>
    </row>
    <row r="76" spans="1:12" s="70" customFormat="1" x14ac:dyDescent="0.25">
      <c r="A76" s="98"/>
      <c r="B76" s="98" t="s">
        <v>233</v>
      </c>
      <c r="C76" s="98"/>
      <c r="D76" s="60"/>
      <c r="E76" s="60">
        <f>E80+E84</f>
        <v>0</v>
      </c>
      <c r="F76" s="60">
        <f t="shared" ref="F76:H76" si="37">F80+F84</f>
        <v>0</v>
      </c>
      <c r="G76" s="60">
        <f t="shared" si="37"/>
        <v>3500</v>
      </c>
      <c r="H76" s="60">
        <f t="shared" si="37"/>
        <v>5812.5</v>
      </c>
    </row>
    <row r="77" spans="1:12" s="70" customFormat="1" x14ac:dyDescent="0.25">
      <c r="A77" s="94"/>
      <c r="B77" s="94"/>
      <c r="C77" s="94"/>
      <c r="D77" s="52"/>
      <c r="E77" s="52"/>
      <c r="F77" s="52"/>
      <c r="G77" s="52"/>
      <c r="H77" s="52"/>
    </row>
    <row r="78" spans="1:12" s="52" customFormat="1" x14ac:dyDescent="0.25">
      <c r="A78" s="94"/>
      <c r="B78" s="94" t="s">
        <v>132</v>
      </c>
      <c r="C78" s="94"/>
      <c r="E78" s="52">
        <f>'1n'!E79</f>
        <v>66.14</v>
      </c>
      <c r="F78" s="52">
        <f>'1n'!F79</f>
        <v>70</v>
      </c>
      <c r="G78" s="52">
        <f>'1n'!G79</f>
        <v>70</v>
      </c>
      <c r="H78" s="52">
        <f>'1n'!H79</f>
        <v>75</v>
      </c>
      <c r="I78" s="70"/>
      <c r="J78" s="70"/>
      <c r="K78" s="70"/>
      <c r="L78" s="70"/>
    </row>
    <row r="79" spans="1:12" s="7" customFormat="1" x14ac:dyDescent="0.25">
      <c r="A79" s="5"/>
      <c r="B79" s="5"/>
      <c r="C79" s="5"/>
      <c r="D79" s="36"/>
      <c r="E79" s="36"/>
      <c r="F79" s="36"/>
      <c r="G79" s="36"/>
      <c r="H79" s="29"/>
      <c r="I79" s="6"/>
      <c r="J79" s="6"/>
      <c r="K79" s="6"/>
      <c r="L79" s="6"/>
    </row>
    <row r="80" spans="1:12" s="7" customFormat="1" x14ac:dyDescent="0.25">
      <c r="A80" s="5"/>
      <c r="B80" s="94" t="s">
        <v>225</v>
      </c>
      <c r="C80" s="94"/>
      <c r="D80" s="52"/>
      <c r="E80" s="52">
        <f>E81</f>
        <v>0</v>
      </c>
      <c r="F80" s="52">
        <f t="shared" ref="F80:H80" si="38">F81</f>
        <v>0</v>
      </c>
      <c r="G80" s="52">
        <f t="shared" si="38"/>
        <v>630</v>
      </c>
      <c r="H80" s="52">
        <f t="shared" si="38"/>
        <v>675</v>
      </c>
      <c r="I80" s="6"/>
      <c r="J80" s="6"/>
      <c r="K80" s="6"/>
      <c r="L80" s="6"/>
    </row>
    <row r="81" spans="1:12" s="7" customFormat="1" x14ac:dyDescent="0.25">
      <c r="A81" s="5"/>
      <c r="B81" s="99" t="s">
        <v>380</v>
      </c>
      <c r="C81" s="94"/>
      <c r="D81" s="52"/>
      <c r="E81" s="52">
        <f>E78*E82</f>
        <v>0</v>
      </c>
      <c r="F81" s="52">
        <f>F78*F82</f>
        <v>0</v>
      </c>
      <c r="G81" s="52">
        <f>G78*G82</f>
        <v>630</v>
      </c>
      <c r="H81" s="52">
        <f>H78*H82</f>
        <v>675</v>
      </c>
      <c r="I81" s="6"/>
      <c r="J81" s="6"/>
      <c r="K81" s="6"/>
      <c r="L81" s="6"/>
    </row>
    <row r="82" spans="1:12" s="7" customFormat="1" x14ac:dyDescent="0.25">
      <c r="A82" s="5"/>
      <c r="B82" s="106" t="s">
        <v>228</v>
      </c>
      <c r="C82" s="94"/>
      <c r="D82" s="52"/>
      <c r="E82" s="52">
        <v>0</v>
      </c>
      <c r="F82" s="52">
        <v>0</v>
      </c>
      <c r="G82" s="52">
        <v>9</v>
      </c>
      <c r="H82" s="52">
        <v>9</v>
      </c>
      <c r="I82" s="6"/>
      <c r="J82" s="6"/>
      <c r="K82" s="6"/>
      <c r="L82" s="6"/>
    </row>
    <row r="83" spans="1:12" s="7" customFormat="1" x14ac:dyDescent="0.25">
      <c r="A83" s="5"/>
      <c r="B83" s="105"/>
      <c r="C83" s="5"/>
      <c r="D83" s="36"/>
      <c r="E83" s="36"/>
      <c r="F83" s="36"/>
      <c r="G83" s="36"/>
      <c r="H83" s="36"/>
      <c r="I83" s="6"/>
      <c r="J83" s="6"/>
      <c r="K83" s="6"/>
      <c r="L83" s="6"/>
    </row>
    <row r="84" spans="1:12" s="7" customFormat="1" x14ac:dyDescent="0.25">
      <c r="A84" s="5"/>
      <c r="B84" s="94" t="s">
        <v>381</v>
      </c>
      <c r="C84" s="5"/>
      <c r="D84" s="36"/>
      <c r="E84" s="52">
        <f>E85*E86+E89*E90</f>
        <v>0</v>
      </c>
      <c r="F84" s="52">
        <f t="shared" ref="F84:H84" si="39">F85*F86+F89*F90</f>
        <v>0</v>
      </c>
      <c r="G84" s="52">
        <f>G85*G86+G89*G90</f>
        <v>2870</v>
      </c>
      <c r="H84" s="52">
        <f t="shared" si="39"/>
        <v>5137.5</v>
      </c>
      <c r="I84" s="6"/>
      <c r="J84" s="6"/>
      <c r="K84" s="6"/>
      <c r="L84" s="6"/>
    </row>
    <row r="85" spans="1:12" s="7" customFormat="1" x14ac:dyDescent="0.25">
      <c r="A85" s="9"/>
      <c r="B85" s="99" t="s">
        <v>382</v>
      </c>
      <c r="C85" s="9"/>
      <c r="D85" s="36"/>
      <c r="E85" s="52">
        <v>0</v>
      </c>
      <c r="F85" s="52">
        <v>0</v>
      </c>
      <c r="G85" s="52">
        <v>1</v>
      </c>
      <c r="H85" s="52">
        <v>2</v>
      </c>
      <c r="I85" s="6"/>
      <c r="J85" s="6"/>
      <c r="K85" s="6"/>
      <c r="L85" s="6"/>
    </row>
    <row r="86" spans="1:12" s="7" customFormat="1" x14ac:dyDescent="0.25">
      <c r="A86" s="9"/>
      <c r="B86" s="99" t="s">
        <v>322</v>
      </c>
      <c r="C86" s="9"/>
      <c r="D86" s="36"/>
      <c r="E86" s="52">
        <f>E78*E87</f>
        <v>479.51499999999999</v>
      </c>
      <c r="F86" s="52">
        <f t="shared" ref="F86:H86" si="40">F78*F87</f>
        <v>507.5</v>
      </c>
      <c r="G86" s="52">
        <f t="shared" si="40"/>
        <v>507.5</v>
      </c>
      <c r="H86" s="52">
        <f t="shared" si="40"/>
        <v>543.75</v>
      </c>
      <c r="I86" s="6"/>
      <c r="J86" s="6"/>
      <c r="K86" s="6"/>
      <c r="L86" s="6"/>
    </row>
    <row r="87" spans="1:12" s="7" customFormat="1" x14ac:dyDescent="0.25">
      <c r="A87" s="9"/>
      <c r="B87" s="79" t="s">
        <v>228</v>
      </c>
      <c r="C87" s="9"/>
      <c r="D87" s="36"/>
      <c r="E87" s="75">
        <v>7.25</v>
      </c>
      <c r="F87" s="75">
        <v>7.25</v>
      </c>
      <c r="G87" s="75">
        <v>7.25</v>
      </c>
      <c r="H87" s="75">
        <v>7.25</v>
      </c>
      <c r="I87" s="6"/>
      <c r="J87" s="6"/>
      <c r="K87" s="6"/>
      <c r="L87" s="6"/>
    </row>
    <row r="88" spans="1:12" s="7" customFormat="1" x14ac:dyDescent="0.25">
      <c r="A88" s="9"/>
      <c r="B88" s="106"/>
      <c r="C88" s="9"/>
      <c r="D88" s="36"/>
      <c r="E88" s="52"/>
      <c r="F88" s="52"/>
      <c r="G88" s="44"/>
      <c r="H88" s="44"/>
      <c r="I88" s="6"/>
      <c r="J88" s="6"/>
      <c r="K88" s="6"/>
      <c r="L88" s="6"/>
    </row>
    <row r="89" spans="1:12" s="7" customFormat="1" x14ac:dyDescent="0.25">
      <c r="A89" s="9"/>
      <c r="B89" s="106" t="s">
        <v>383</v>
      </c>
      <c r="C89" s="9"/>
      <c r="D89" s="36"/>
      <c r="E89" s="52">
        <v>0</v>
      </c>
      <c r="F89" s="52">
        <v>0</v>
      </c>
      <c r="G89" s="52">
        <v>5</v>
      </c>
      <c r="H89" s="52">
        <v>8</v>
      </c>
      <c r="I89" s="6"/>
      <c r="J89" s="6"/>
      <c r="K89" s="6"/>
      <c r="L89" s="6"/>
    </row>
    <row r="90" spans="1:12" s="7" customFormat="1" x14ac:dyDescent="0.25">
      <c r="A90" s="9"/>
      <c r="B90" s="99" t="s">
        <v>323</v>
      </c>
      <c r="C90" s="9"/>
      <c r="D90" s="36"/>
      <c r="E90" s="52">
        <f>E91*E78</f>
        <v>446.44499999999999</v>
      </c>
      <c r="F90" s="52">
        <f t="shared" ref="F90:H90" si="41">F91*F78</f>
        <v>472.5</v>
      </c>
      <c r="G90" s="52">
        <f t="shared" si="41"/>
        <v>472.5</v>
      </c>
      <c r="H90" s="52">
        <f t="shared" si="41"/>
        <v>506.25</v>
      </c>
      <c r="I90" s="6"/>
      <c r="J90" s="6"/>
      <c r="K90" s="6"/>
      <c r="L90" s="6"/>
    </row>
    <row r="91" spans="1:12" s="7" customFormat="1" x14ac:dyDescent="0.25">
      <c r="A91" s="9"/>
      <c r="B91" s="79" t="s">
        <v>228</v>
      </c>
      <c r="C91" s="9"/>
      <c r="D91" s="36"/>
      <c r="E91" s="75">
        <v>6.75</v>
      </c>
      <c r="F91" s="75">
        <v>6.75</v>
      </c>
      <c r="G91" s="75">
        <v>6.75</v>
      </c>
      <c r="H91" s="75">
        <v>6.75</v>
      </c>
      <c r="I91" s="6"/>
      <c r="J91" s="6"/>
      <c r="K91" s="6"/>
      <c r="L91" s="6"/>
    </row>
    <row r="92" spans="1:12" s="7" customFormat="1" hidden="1" x14ac:dyDescent="0.25">
      <c r="A92" s="9"/>
      <c r="B92" s="106"/>
      <c r="C92" s="9"/>
      <c r="D92" s="36"/>
      <c r="E92" s="36"/>
      <c r="F92" s="36"/>
      <c r="G92" s="29"/>
      <c r="H92" s="29"/>
      <c r="I92" s="6"/>
      <c r="J92" s="6"/>
      <c r="K92" s="6"/>
      <c r="L92" s="6"/>
    </row>
    <row r="93" spans="1:12" s="7" customFormat="1" hidden="1" x14ac:dyDescent="0.25">
      <c r="A93" s="9"/>
      <c r="B93" s="106"/>
      <c r="C93" s="9"/>
      <c r="D93" s="36"/>
      <c r="E93" s="37"/>
      <c r="F93" s="37"/>
      <c r="G93" s="37"/>
      <c r="H93" s="37"/>
      <c r="I93" s="6"/>
      <c r="J93" s="6"/>
      <c r="K93" s="6"/>
      <c r="L93" s="6"/>
    </row>
    <row r="94" spans="1:12" s="7" customFormat="1" hidden="1" x14ac:dyDescent="0.25">
      <c r="A94" s="9"/>
      <c r="B94" s="94" t="s">
        <v>326</v>
      </c>
      <c r="C94" s="9"/>
      <c r="D94" s="36"/>
      <c r="E94" s="36">
        <f>E95*E96*E120</f>
        <v>0</v>
      </c>
      <c r="F94" s="36">
        <f t="shared" ref="F94:H94" si="42">F95*F96*F120</f>
        <v>0</v>
      </c>
      <c r="G94" s="36">
        <f t="shared" si="42"/>
        <v>0</v>
      </c>
      <c r="H94" s="36">
        <f t="shared" si="42"/>
        <v>0</v>
      </c>
      <c r="I94" s="6"/>
      <c r="J94" s="6"/>
      <c r="K94" s="6"/>
      <c r="L94" s="6"/>
    </row>
    <row r="95" spans="1:12" s="7" customFormat="1" hidden="1" x14ac:dyDescent="0.25">
      <c r="A95" s="9"/>
      <c r="B95" s="9" t="s">
        <v>327</v>
      </c>
      <c r="C95" s="9"/>
      <c r="D95" s="36"/>
      <c r="E95" s="36">
        <v>0</v>
      </c>
      <c r="F95" s="36">
        <v>0</v>
      </c>
      <c r="G95" s="36">
        <v>0</v>
      </c>
      <c r="H95" s="36">
        <v>0</v>
      </c>
      <c r="I95" s="6"/>
      <c r="J95" s="6"/>
      <c r="K95" s="6"/>
      <c r="L95" s="6"/>
    </row>
    <row r="96" spans="1:12" s="7" customFormat="1" hidden="1" x14ac:dyDescent="0.25">
      <c r="A96" s="9"/>
      <c r="B96" s="9" t="s">
        <v>39</v>
      </c>
      <c r="C96" s="9"/>
      <c r="D96" s="36"/>
      <c r="E96" s="36">
        <f>E78*E97</f>
        <v>529.12</v>
      </c>
      <c r="F96" s="36">
        <f>F78*F97</f>
        <v>560</v>
      </c>
      <c r="G96" s="36">
        <f>G78*G97</f>
        <v>560</v>
      </c>
      <c r="H96" s="36">
        <f>H78*H97</f>
        <v>600</v>
      </c>
      <c r="I96" s="6"/>
      <c r="J96" s="6"/>
      <c r="K96" s="6"/>
      <c r="L96" s="6"/>
    </row>
    <row r="97" spans="1:12" s="7" customFormat="1" hidden="1" x14ac:dyDescent="0.25">
      <c r="A97" s="9"/>
      <c r="B97" s="79" t="s">
        <v>228</v>
      </c>
      <c r="C97" s="9"/>
      <c r="D97" s="36"/>
      <c r="E97" s="36">
        <v>8</v>
      </c>
      <c r="F97" s="36">
        <v>8</v>
      </c>
      <c r="G97" s="36">
        <v>8</v>
      </c>
      <c r="H97" s="36">
        <v>8</v>
      </c>
      <c r="I97" s="6"/>
      <c r="J97" s="6"/>
      <c r="K97" s="6"/>
      <c r="L97" s="6"/>
    </row>
    <row r="98" spans="1:12" hidden="1" x14ac:dyDescent="0.25"/>
    <row r="99" spans="1:12" s="7" customFormat="1" hidden="1" x14ac:dyDescent="0.25">
      <c r="A99" s="9"/>
      <c r="B99" s="7" t="s">
        <v>328</v>
      </c>
      <c r="C99" s="9"/>
      <c r="D99" s="36"/>
      <c r="E99" s="36">
        <f>E100*E101*E120</f>
        <v>0</v>
      </c>
      <c r="F99" s="36">
        <f t="shared" ref="F99:H99" si="43">F100*F101*F120</f>
        <v>0</v>
      </c>
      <c r="G99" s="36">
        <f t="shared" si="43"/>
        <v>0</v>
      </c>
      <c r="H99" s="36">
        <f t="shared" si="43"/>
        <v>0</v>
      </c>
      <c r="I99" s="6"/>
      <c r="J99" s="6"/>
      <c r="K99" s="6"/>
      <c r="L99" s="6"/>
    </row>
    <row r="100" spans="1:12" s="7" customFormat="1" hidden="1" x14ac:dyDescent="0.25">
      <c r="A100" s="9"/>
      <c r="B100" s="9" t="s">
        <v>327</v>
      </c>
      <c r="C100" s="9"/>
      <c r="D100" s="36"/>
      <c r="E100" s="36">
        <v>0</v>
      </c>
      <c r="F100" s="36">
        <v>0</v>
      </c>
      <c r="G100" s="36">
        <v>0</v>
      </c>
      <c r="H100" s="36">
        <v>0</v>
      </c>
      <c r="I100" s="6"/>
      <c r="J100" s="6"/>
      <c r="K100" s="6"/>
      <c r="L100" s="6"/>
    </row>
    <row r="101" spans="1:12" s="7" customFormat="1" hidden="1" x14ac:dyDescent="0.25">
      <c r="A101" s="9"/>
      <c r="B101" s="9" t="s">
        <v>39</v>
      </c>
      <c r="C101" s="9"/>
      <c r="D101" s="36"/>
      <c r="E101" s="36">
        <f>E78*E102</f>
        <v>330.7</v>
      </c>
      <c r="F101" s="36">
        <f>F78*F102</f>
        <v>350</v>
      </c>
      <c r="G101" s="36">
        <f>G78*G102</f>
        <v>350</v>
      </c>
      <c r="H101" s="36">
        <f>H78*H102</f>
        <v>375</v>
      </c>
      <c r="I101" s="6"/>
      <c r="J101" s="6"/>
      <c r="K101" s="6"/>
      <c r="L101" s="6"/>
    </row>
    <row r="102" spans="1:12" s="7" customFormat="1" hidden="1" x14ac:dyDescent="0.25">
      <c r="A102" s="9"/>
      <c r="B102" s="79" t="s">
        <v>228</v>
      </c>
      <c r="C102" s="9"/>
      <c r="D102" s="36"/>
      <c r="E102" s="36">
        <v>5</v>
      </c>
      <c r="F102" s="36">
        <v>5</v>
      </c>
      <c r="G102" s="36">
        <v>5</v>
      </c>
      <c r="H102" s="36">
        <v>5</v>
      </c>
      <c r="I102" s="6"/>
      <c r="J102" s="6"/>
      <c r="K102" s="6"/>
      <c r="L102" s="6"/>
    </row>
    <row r="103" spans="1:12" s="7" customFormat="1" hidden="1" x14ac:dyDescent="0.25">
      <c r="A103" s="9"/>
      <c r="B103" s="106"/>
      <c r="C103" s="9"/>
      <c r="D103" s="36"/>
      <c r="E103" s="37"/>
      <c r="F103" s="37"/>
      <c r="G103" s="37"/>
      <c r="H103" s="37"/>
      <c r="I103" s="6"/>
      <c r="J103" s="6"/>
      <c r="K103" s="6"/>
      <c r="L103" s="6"/>
    </row>
    <row r="104" spans="1:12" s="7" customFormat="1" hidden="1" x14ac:dyDescent="0.25">
      <c r="A104" s="5"/>
      <c r="B104" s="94" t="s">
        <v>297</v>
      </c>
      <c r="C104" s="5"/>
      <c r="D104" s="36"/>
      <c r="E104" s="36">
        <f>E105*E106*E120</f>
        <v>0</v>
      </c>
      <c r="F104" s="36">
        <f t="shared" ref="F104:H104" si="44">F105*F106*F120</f>
        <v>0</v>
      </c>
      <c r="G104" s="36">
        <f t="shared" si="44"/>
        <v>0</v>
      </c>
      <c r="H104" s="36">
        <f t="shared" si="44"/>
        <v>0</v>
      </c>
      <c r="I104" s="6"/>
      <c r="J104" s="6"/>
      <c r="K104" s="6"/>
      <c r="L104" s="6"/>
    </row>
    <row r="105" spans="1:12" s="7" customFormat="1" hidden="1" x14ac:dyDescent="0.25">
      <c r="A105" s="9"/>
      <c r="B105" s="9" t="s">
        <v>230</v>
      </c>
      <c r="C105" s="9"/>
      <c r="D105" s="36"/>
      <c r="E105" s="36">
        <v>0</v>
      </c>
      <c r="F105" s="36">
        <v>0</v>
      </c>
      <c r="G105" s="36">
        <v>0</v>
      </c>
      <c r="H105" s="36">
        <v>0</v>
      </c>
      <c r="I105" s="6"/>
      <c r="J105" s="6"/>
      <c r="K105" s="6"/>
      <c r="L105" s="6"/>
    </row>
    <row r="106" spans="1:12" s="7" customFormat="1" hidden="1" x14ac:dyDescent="0.25">
      <c r="A106" s="9"/>
      <c r="B106" s="9" t="s">
        <v>231</v>
      </c>
      <c r="C106" s="9"/>
      <c r="D106" s="36"/>
      <c r="E106" s="36">
        <f>E107*E78</f>
        <v>264.56</v>
      </c>
      <c r="F106" s="36">
        <f>F107*F78</f>
        <v>280</v>
      </c>
      <c r="G106" s="36">
        <f>G107*G78</f>
        <v>280</v>
      </c>
      <c r="H106" s="36">
        <f>H107*H78</f>
        <v>300</v>
      </c>
      <c r="I106" s="6"/>
      <c r="J106" s="6"/>
      <c r="K106" s="6"/>
      <c r="L106" s="6"/>
    </row>
    <row r="107" spans="1:12" ht="13.5" hidden="1" customHeight="1" x14ac:dyDescent="0.25">
      <c r="B107" s="79" t="s">
        <v>228</v>
      </c>
      <c r="E107" s="36">
        <v>4</v>
      </c>
      <c r="F107" s="36">
        <v>4</v>
      </c>
      <c r="G107" s="36">
        <v>4</v>
      </c>
      <c r="H107" s="36">
        <v>4</v>
      </c>
    </row>
    <row r="108" spans="1:12" ht="13.5" hidden="1" customHeight="1" x14ac:dyDescent="0.25">
      <c r="B108" s="79"/>
      <c r="G108" s="36"/>
      <c r="H108" s="36"/>
    </row>
    <row r="109" spans="1:12" ht="13.5" hidden="1" customHeight="1" x14ac:dyDescent="0.25">
      <c r="B109" s="94" t="s">
        <v>331</v>
      </c>
      <c r="E109" s="36">
        <f>E110*E111*E120</f>
        <v>0</v>
      </c>
      <c r="F109" s="36">
        <f t="shared" ref="F109:H109" si="45">F110*F111*F120</f>
        <v>0</v>
      </c>
      <c r="G109" s="36">
        <f t="shared" si="45"/>
        <v>0</v>
      </c>
      <c r="H109" s="36">
        <f t="shared" si="45"/>
        <v>0</v>
      </c>
    </row>
    <row r="110" spans="1:12" ht="13.5" hidden="1" customHeight="1" x14ac:dyDescent="0.25">
      <c r="B110" s="9" t="s">
        <v>332</v>
      </c>
      <c r="E110" s="36">
        <v>0</v>
      </c>
      <c r="F110" s="36">
        <v>0</v>
      </c>
      <c r="G110" s="36">
        <v>0</v>
      </c>
      <c r="H110" s="36">
        <v>0</v>
      </c>
    </row>
    <row r="111" spans="1:12" ht="13.5" hidden="1" customHeight="1" x14ac:dyDescent="0.25">
      <c r="B111" s="9" t="s">
        <v>39</v>
      </c>
      <c r="E111" s="36">
        <f>E112*E78</f>
        <v>396.84000000000003</v>
      </c>
      <c r="F111" s="36">
        <f>F112*F78</f>
        <v>420</v>
      </c>
      <c r="G111" s="36">
        <f>G112*G78</f>
        <v>420</v>
      </c>
      <c r="H111" s="36">
        <f>H112*H78</f>
        <v>450</v>
      </c>
    </row>
    <row r="112" spans="1:12" ht="13.5" hidden="1" customHeight="1" x14ac:dyDescent="0.25">
      <c r="B112" s="79" t="s">
        <v>228</v>
      </c>
      <c r="E112" s="36">
        <v>6</v>
      </c>
      <c r="F112" s="36">
        <v>6</v>
      </c>
      <c r="G112" s="36">
        <v>6</v>
      </c>
      <c r="H112" s="36">
        <v>6</v>
      </c>
    </row>
    <row r="113" spans="1:12" ht="13.5" hidden="1" customHeight="1" x14ac:dyDescent="0.25">
      <c r="B113" s="79"/>
      <c r="G113" s="36"/>
      <c r="H113" s="36"/>
    </row>
    <row r="114" spans="1:12" ht="13.5" hidden="1" customHeight="1" x14ac:dyDescent="0.25">
      <c r="B114" s="5" t="s">
        <v>4</v>
      </c>
      <c r="E114" s="36">
        <f>E115*E116*E120</f>
        <v>0</v>
      </c>
      <c r="F114" s="36">
        <f t="shared" ref="F114:H114" si="46">F115*F116*F120</f>
        <v>0</v>
      </c>
      <c r="G114" s="36">
        <f t="shared" si="46"/>
        <v>0</v>
      </c>
      <c r="H114" s="36">
        <f t="shared" si="46"/>
        <v>0</v>
      </c>
    </row>
    <row r="115" spans="1:12" s="7" customFormat="1" hidden="1" x14ac:dyDescent="0.25">
      <c r="A115" s="9"/>
      <c r="B115" s="9" t="s">
        <v>48</v>
      </c>
      <c r="C115" s="9"/>
      <c r="D115" s="36"/>
      <c r="E115" s="36">
        <v>0</v>
      </c>
      <c r="F115" s="36">
        <v>0</v>
      </c>
      <c r="G115" s="36">
        <v>0</v>
      </c>
      <c r="H115" s="36">
        <v>0</v>
      </c>
      <c r="I115" s="6"/>
      <c r="J115" s="6"/>
      <c r="K115" s="6"/>
      <c r="L115" s="6"/>
    </row>
    <row r="116" spans="1:12" s="7" customFormat="1" hidden="1" x14ac:dyDescent="0.25">
      <c r="A116" s="9"/>
      <c r="B116" s="9" t="s">
        <v>49</v>
      </c>
      <c r="C116" s="9"/>
      <c r="D116" s="36"/>
      <c r="E116" s="36">
        <f>E117*E78</f>
        <v>165.35</v>
      </c>
      <c r="F116" s="36">
        <f>F117*F78</f>
        <v>175</v>
      </c>
      <c r="G116" s="36">
        <f>G117*G78</f>
        <v>175</v>
      </c>
      <c r="H116" s="36">
        <f>H117*H78</f>
        <v>187.5</v>
      </c>
      <c r="I116" s="6"/>
      <c r="J116" s="6"/>
      <c r="K116" s="6"/>
      <c r="L116" s="6"/>
    </row>
    <row r="117" spans="1:12" ht="13.5" hidden="1" customHeight="1" x14ac:dyDescent="0.25">
      <c r="B117" s="79" t="s">
        <v>228</v>
      </c>
      <c r="E117" s="36">
        <v>2.5</v>
      </c>
      <c r="F117" s="36">
        <v>2.5</v>
      </c>
      <c r="G117" s="36">
        <v>2.5</v>
      </c>
      <c r="H117" s="36">
        <v>2.5</v>
      </c>
    </row>
    <row r="118" spans="1:12" ht="13.5" customHeight="1" x14ac:dyDescent="0.25">
      <c r="B118" s="79"/>
      <c r="G118" s="36"/>
      <c r="H118" s="36"/>
    </row>
    <row r="119" spans="1:12" s="70" customFormat="1" ht="15.75" customHeight="1" x14ac:dyDescent="0.25">
      <c r="A119" s="94"/>
      <c r="B119" s="106" t="s">
        <v>57</v>
      </c>
      <c r="C119" s="94"/>
      <c r="D119" s="52"/>
      <c r="E119" s="52">
        <f>E85+E89+E95+E100+E105+E110+E115</f>
        <v>0</v>
      </c>
      <c r="F119" s="52">
        <f>F85+F89+F95+F100+F105+F110+F115</f>
        <v>0</v>
      </c>
      <c r="G119" s="52">
        <f>1+G85+G89+G95+G100+G105+G110+G115</f>
        <v>7</v>
      </c>
      <c r="H119" s="52">
        <f>1+H85+H89+H95+H100+H105+H110+H115</f>
        <v>11</v>
      </c>
    </row>
    <row r="120" spans="1:12" s="52" customFormat="1" x14ac:dyDescent="0.25">
      <c r="A120" s="99"/>
      <c r="B120" s="99" t="s">
        <v>40</v>
      </c>
      <c r="C120" s="99"/>
      <c r="E120" s="54">
        <v>0</v>
      </c>
      <c r="F120" s="52">
        <v>0</v>
      </c>
      <c r="G120" s="52">
        <v>12</v>
      </c>
      <c r="H120" s="52">
        <v>12</v>
      </c>
      <c r="I120" s="70"/>
      <c r="J120" s="70"/>
      <c r="K120" s="70"/>
      <c r="L120" s="70"/>
    </row>
    <row r="121" spans="1:12" s="7" customFormat="1" hidden="1" x14ac:dyDescent="0.25">
      <c r="A121" s="9"/>
      <c r="B121" s="9"/>
      <c r="C121" s="9"/>
      <c r="D121" s="36"/>
      <c r="E121" s="39"/>
      <c r="F121" s="36"/>
      <c r="G121" s="36"/>
      <c r="H121" s="36"/>
      <c r="I121" s="6"/>
      <c r="J121" s="6"/>
      <c r="K121" s="6"/>
      <c r="L121" s="6"/>
    </row>
    <row r="123" spans="1:12" x14ac:dyDescent="0.25">
      <c r="A123" s="58"/>
      <c r="B123" s="58" t="s">
        <v>10</v>
      </c>
      <c r="C123" s="58"/>
      <c r="D123" s="59"/>
      <c r="E123" s="60">
        <f>E124*E125+E127*E128</f>
        <v>0</v>
      </c>
      <c r="F123" s="60">
        <f t="shared" ref="F123:H123" si="47">F124*F125+F127*F128</f>
        <v>0</v>
      </c>
      <c r="G123" s="60">
        <f t="shared" si="47"/>
        <v>364</v>
      </c>
      <c r="H123" s="60">
        <f t="shared" si="47"/>
        <v>364</v>
      </c>
    </row>
    <row r="124" spans="1:12" s="7" customFormat="1" hidden="1" x14ac:dyDescent="0.25">
      <c r="A124" s="5"/>
      <c r="B124" s="9" t="s">
        <v>50</v>
      </c>
      <c r="C124" s="5"/>
      <c r="D124" s="36"/>
      <c r="E124" s="36">
        <v>0</v>
      </c>
      <c r="F124" s="36">
        <v>0</v>
      </c>
      <c r="G124" s="36">
        <v>0</v>
      </c>
      <c r="H124" s="36">
        <v>0</v>
      </c>
      <c r="I124" s="6"/>
      <c r="J124" s="6"/>
      <c r="K124" s="6"/>
      <c r="L124" s="6"/>
    </row>
    <row r="125" spans="1:12" s="7" customFormat="1" hidden="1" x14ac:dyDescent="0.25">
      <c r="A125" s="5"/>
      <c r="B125" s="9" t="s">
        <v>51</v>
      </c>
      <c r="C125" s="5"/>
      <c r="D125" s="36"/>
      <c r="E125" s="36">
        <f>Trips!$B$10</f>
        <v>911.66111833333343</v>
      </c>
      <c r="F125" s="36">
        <f>Trips!$B$10</f>
        <v>911.66111833333343</v>
      </c>
      <c r="G125" s="36">
        <f>Trips!$B$10</f>
        <v>911.66111833333343</v>
      </c>
      <c r="H125" s="36">
        <f>Trips!$B$10</f>
        <v>911.66111833333343</v>
      </c>
      <c r="I125" s="6"/>
      <c r="J125" s="6"/>
      <c r="K125" s="6"/>
      <c r="L125" s="6"/>
    </row>
    <row r="126" spans="1:12" hidden="1" x14ac:dyDescent="0.25"/>
    <row r="127" spans="1:12" s="7" customFormat="1" x14ac:dyDescent="0.25">
      <c r="A127" s="5"/>
      <c r="B127" s="9" t="s">
        <v>52</v>
      </c>
      <c r="C127" s="5"/>
      <c r="D127" s="36"/>
      <c r="E127" s="52">
        <v>0</v>
      </c>
      <c r="F127" s="52">
        <v>0</v>
      </c>
      <c r="G127" s="52">
        <v>7</v>
      </c>
      <c r="H127" s="52">
        <v>7</v>
      </c>
      <c r="I127" s="6"/>
      <c r="J127" s="6"/>
      <c r="K127" s="6"/>
      <c r="L127" s="6"/>
    </row>
    <row r="128" spans="1:12" s="7" customFormat="1" x14ac:dyDescent="0.25">
      <c r="A128" s="5"/>
      <c r="B128" s="9" t="s">
        <v>53</v>
      </c>
      <c r="C128" s="5"/>
      <c r="D128" s="36"/>
      <c r="E128" s="52">
        <f>Trips!$B$5</f>
        <v>52</v>
      </c>
      <c r="F128" s="52">
        <f>Trips!$B$5</f>
        <v>52</v>
      </c>
      <c r="G128" s="52">
        <f>Trips!$B$5</f>
        <v>52</v>
      </c>
      <c r="H128" s="52">
        <f>Trips!$B$5</f>
        <v>52</v>
      </c>
      <c r="I128" s="6"/>
      <c r="J128" s="6"/>
      <c r="K128" s="6"/>
      <c r="L128" s="6"/>
    </row>
    <row r="131" spans="1:12" x14ac:dyDescent="0.25">
      <c r="A131" s="58"/>
      <c r="B131" s="98" t="s">
        <v>192</v>
      </c>
      <c r="C131" s="98"/>
      <c r="D131" s="60"/>
      <c r="E131" s="60">
        <f>E132*E133</f>
        <v>712.48985000000005</v>
      </c>
      <c r="F131" s="60">
        <f t="shared" ref="F131:H131" si="48">F132*F133</f>
        <v>0</v>
      </c>
      <c r="G131" s="60">
        <f t="shared" si="48"/>
        <v>0</v>
      </c>
      <c r="H131" s="60">
        <f t="shared" si="48"/>
        <v>0</v>
      </c>
    </row>
    <row r="132" spans="1:12" s="7" customFormat="1" x14ac:dyDescent="0.25">
      <c r="A132" s="10"/>
      <c r="B132" s="109" t="s">
        <v>162</v>
      </c>
      <c r="C132" s="100" t="s">
        <v>163</v>
      </c>
      <c r="D132" s="52"/>
      <c r="E132" s="52">
        <v>1</v>
      </c>
      <c r="F132" s="52"/>
      <c r="G132" s="52">
        <v>0</v>
      </c>
      <c r="H132" s="52">
        <v>0</v>
      </c>
      <c r="I132" s="6"/>
      <c r="J132" s="6"/>
      <c r="K132" s="6"/>
      <c r="L132" s="6"/>
    </row>
    <row r="133" spans="1:12" s="7" customFormat="1" x14ac:dyDescent="0.25">
      <c r="A133" s="5"/>
      <c r="B133" s="109" t="s">
        <v>159</v>
      </c>
      <c r="C133" s="94"/>
      <c r="D133" s="52"/>
      <c r="E133" s="52">
        <f>Trips!B29</f>
        <v>712.48985000000005</v>
      </c>
      <c r="F133" s="52">
        <f>E133*(1+index)</f>
        <v>743.12691355000004</v>
      </c>
      <c r="G133" s="52">
        <f>F133*(1+index)</f>
        <v>775.08137083265001</v>
      </c>
      <c r="H133" s="52">
        <f>G133*(1+index)</f>
        <v>808.40986977845387</v>
      </c>
      <c r="I133" s="6"/>
      <c r="J133" s="6"/>
      <c r="K133" s="6"/>
      <c r="L133" s="6"/>
    </row>
    <row r="134" spans="1:12" s="7" customFormat="1" x14ac:dyDescent="0.25">
      <c r="A134" s="5"/>
      <c r="B134" s="232" t="s">
        <v>73</v>
      </c>
      <c r="C134" s="94"/>
      <c r="D134" s="52"/>
      <c r="E134" s="52"/>
      <c r="F134" s="52"/>
      <c r="G134" s="52"/>
      <c r="H134" s="52"/>
      <c r="I134" s="6"/>
      <c r="J134" s="6"/>
      <c r="K134" s="6"/>
      <c r="L134" s="6"/>
    </row>
    <row r="135" spans="1:12" x14ac:dyDescent="0.25">
      <c r="B135" s="94"/>
      <c r="C135" s="94"/>
      <c r="D135" s="52"/>
      <c r="E135" s="52"/>
      <c r="F135" s="52"/>
      <c r="G135" s="44"/>
      <c r="H135" s="44"/>
    </row>
    <row r="136" spans="1:12" x14ac:dyDescent="0.25">
      <c r="A136" s="58"/>
      <c r="B136" s="58" t="s">
        <v>148</v>
      </c>
      <c r="C136" s="58"/>
      <c r="D136" s="59"/>
      <c r="E136" s="60">
        <f>E137*E138+E139*E140+E141*E142</f>
        <v>0</v>
      </c>
      <c r="F136" s="60">
        <f t="shared" ref="F136:H136" si="49">F137*F138+F139*F140+F141*F142</f>
        <v>0</v>
      </c>
      <c r="G136" s="60">
        <f t="shared" si="49"/>
        <v>519.05000000000007</v>
      </c>
      <c r="H136" s="60">
        <f t="shared" si="49"/>
        <v>296.60000000000002</v>
      </c>
    </row>
    <row r="137" spans="1:12" hidden="1" x14ac:dyDescent="0.25">
      <c r="B137" s="45" t="s">
        <v>149</v>
      </c>
      <c r="C137" s="5" t="s">
        <v>150</v>
      </c>
      <c r="F137" s="36">
        <f>Training!$C$31</f>
        <v>81.741000000000014</v>
      </c>
      <c r="G137" s="36">
        <f>Training!$C$31</f>
        <v>81.741000000000014</v>
      </c>
      <c r="H137" s="36">
        <f>Training!$C$31</f>
        <v>81.741000000000014</v>
      </c>
    </row>
    <row r="138" spans="1:12" hidden="1" x14ac:dyDescent="0.25">
      <c r="B138" s="45" t="s">
        <v>151</v>
      </c>
      <c r="F138" s="36">
        <v>0</v>
      </c>
      <c r="G138" s="36">
        <v>0</v>
      </c>
      <c r="H138" s="36">
        <v>0</v>
      </c>
    </row>
    <row r="139" spans="1:12" hidden="1" x14ac:dyDescent="0.25">
      <c r="B139" s="45" t="s">
        <v>152</v>
      </c>
      <c r="F139" s="36">
        <f>Training!C$22</f>
        <v>709.375</v>
      </c>
      <c r="G139" s="36">
        <f>F139*(1+index)</f>
        <v>739.87812499999995</v>
      </c>
      <c r="H139" s="36">
        <f>G139*(1+index)</f>
        <v>771.69288437499995</v>
      </c>
      <c r="I139" s="70"/>
    </row>
    <row r="140" spans="1:12" hidden="1" x14ac:dyDescent="0.25">
      <c r="B140" s="45" t="s">
        <v>153</v>
      </c>
      <c r="E140" s="36">
        <v>0</v>
      </c>
      <c r="F140" s="36">
        <v>0</v>
      </c>
      <c r="G140" s="36">
        <v>0</v>
      </c>
      <c r="H140" s="36">
        <v>0</v>
      </c>
      <c r="I140" s="70"/>
    </row>
    <row r="141" spans="1:12" x14ac:dyDescent="0.25">
      <c r="B141" s="45" t="s">
        <v>272</v>
      </c>
      <c r="C141" s="5" t="s">
        <v>150</v>
      </c>
      <c r="E141" s="75">
        <f>Training!$C$37</f>
        <v>74.150000000000006</v>
      </c>
      <c r="F141" s="75">
        <f>Training!$C$37</f>
        <v>74.150000000000006</v>
      </c>
      <c r="G141" s="75">
        <f>Training!$C$37</f>
        <v>74.150000000000006</v>
      </c>
      <c r="H141" s="75">
        <f>Training!$C$37</f>
        <v>74.150000000000006</v>
      </c>
      <c r="I141" s="70"/>
    </row>
    <row r="142" spans="1:12" x14ac:dyDescent="0.25">
      <c r="B142" s="45" t="s">
        <v>151</v>
      </c>
      <c r="E142" s="52">
        <v>0</v>
      </c>
      <c r="F142" s="52">
        <v>0</v>
      </c>
      <c r="G142" s="52">
        <v>7</v>
      </c>
      <c r="H142" s="52">
        <f>1+H85+H89-E142-F142-G142</f>
        <v>4</v>
      </c>
      <c r="I142" s="70"/>
    </row>
    <row r="143" spans="1:12" x14ac:dyDescent="0.25">
      <c r="B143" s="45"/>
      <c r="G143" s="36"/>
      <c r="H143" s="36"/>
    </row>
    <row r="144" spans="1:12" x14ac:dyDescent="0.25">
      <c r="B144" s="45"/>
    </row>
    <row r="145" spans="1:12" x14ac:dyDescent="0.25">
      <c r="A145" s="58"/>
      <c r="B145" s="58" t="s">
        <v>24</v>
      </c>
      <c r="C145" s="58"/>
      <c r="D145" s="59"/>
      <c r="E145" s="60">
        <f>E146*E147</f>
        <v>180</v>
      </c>
      <c r="F145" s="60">
        <f t="shared" ref="F145:H145" si="50">F146*F147</f>
        <v>0</v>
      </c>
      <c r="G145" s="60">
        <f t="shared" si="50"/>
        <v>0</v>
      </c>
      <c r="H145" s="60">
        <f t="shared" si="50"/>
        <v>0</v>
      </c>
    </row>
    <row r="146" spans="1:12" s="7" customFormat="1" x14ac:dyDescent="0.25">
      <c r="A146" s="5"/>
      <c r="B146" s="45" t="s">
        <v>54</v>
      </c>
      <c r="C146" s="5"/>
      <c r="D146" s="36"/>
      <c r="E146" s="52">
        <v>30</v>
      </c>
      <c r="F146" s="52">
        <v>0</v>
      </c>
      <c r="G146" s="52">
        <v>0</v>
      </c>
      <c r="H146" s="52">
        <v>0</v>
      </c>
      <c r="I146" s="6"/>
      <c r="J146" s="6"/>
      <c r="K146" s="6"/>
      <c r="L146" s="6"/>
    </row>
    <row r="147" spans="1:12" s="7" customFormat="1" x14ac:dyDescent="0.25">
      <c r="A147" s="5"/>
      <c r="B147" s="45" t="s">
        <v>55</v>
      </c>
      <c r="C147" s="5"/>
      <c r="D147" s="36"/>
      <c r="E147" s="52">
        <f>'Rates and GI'!D30</f>
        <v>6</v>
      </c>
      <c r="F147" s="52">
        <f>E147*(1+index)</f>
        <v>6.2579999999999991</v>
      </c>
      <c r="G147" s="52">
        <f>F147*(1+index)</f>
        <v>6.5270939999999991</v>
      </c>
      <c r="H147" s="52">
        <f>G147*(1+index)</f>
        <v>6.8077590419999989</v>
      </c>
      <c r="I147" s="6"/>
      <c r="J147" s="6"/>
      <c r="K147" s="6"/>
      <c r="L147" s="6"/>
    </row>
    <row r="148" spans="1:12" x14ac:dyDescent="0.25">
      <c r="E148" s="52"/>
      <c r="F148" s="52"/>
      <c r="G148" s="44"/>
      <c r="H148" s="44"/>
    </row>
    <row r="149" spans="1:12" x14ac:dyDescent="0.25">
      <c r="A149" s="58"/>
      <c r="B149" s="58" t="s">
        <v>7</v>
      </c>
      <c r="C149" s="58"/>
      <c r="D149" s="59"/>
      <c r="E149" s="59"/>
      <c r="F149" s="59"/>
      <c r="G149" s="59"/>
      <c r="H149" s="59"/>
    </row>
    <row r="150" spans="1:12" s="7" customFormat="1" hidden="1" x14ac:dyDescent="0.25">
      <c r="A150" s="5"/>
      <c r="B150" s="4" t="s">
        <v>58</v>
      </c>
      <c r="C150" s="5"/>
      <c r="D150" s="36"/>
      <c r="E150" s="36"/>
      <c r="F150" s="36"/>
      <c r="G150" s="29"/>
      <c r="H150" s="29"/>
      <c r="I150" s="6"/>
      <c r="J150" s="6"/>
      <c r="K150" s="6"/>
      <c r="L150" s="6"/>
    </row>
    <row r="151" spans="1:12" s="7" customFormat="1" hidden="1" x14ac:dyDescent="0.25">
      <c r="A151" s="5"/>
      <c r="B151" s="47" t="s">
        <v>308</v>
      </c>
      <c r="C151" s="46" t="s">
        <v>56</v>
      </c>
      <c r="D151" s="36"/>
      <c r="E151" s="36"/>
      <c r="F151" s="36"/>
      <c r="G151" s="29"/>
      <c r="H151" s="29"/>
      <c r="I151" s="6"/>
      <c r="J151" s="6"/>
      <c r="K151" s="6"/>
      <c r="L151" s="6"/>
    </row>
    <row r="152" spans="1:12" s="51" customFormat="1" hidden="1" x14ac:dyDescent="0.25">
      <c r="A152" s="46"/>
      <c r="B152" s="47" t="s">
        <v>59</v>
      </c>
      <c r="C152" s="46" t="s">
        <v>56</v>
      </c>
      <c r="D152" s="48"/>
      <c r="E152" s="48"/>
      <c r="F152" s="36"/>
      <c r="G152" s="36"/>
      <c r="H152" s="36"/>
      <c r="I152" s="50"/>
      <c r="J152" s="50"/>
      <c r="K152" s="50"/>
      <c r="L152" s="50"/>
    </row>
    <row r="153" spans="1:12" s="46" customFormat="1" hidden="1" x14ac:dyDescent="0.25">
      <c r="B153" s="47" t="s">
        <v>243</v>
      </c>
      <c r="D153" s="48"/>
      <c r="E153" s="116"/>
      <c r="F153" s="36"/>
      <c r="G153" s="36"/>
      <c r="H153" s="36"/>
      <c r="I153" s="50"/>
      <c r="J153" s="50"/>
      <c r="K153" s="50"/>
      <c r="L153" s="50"/>
    </row>
    <row r="154" spans="1:12" s="46" customFormat="1" hidden="1" x14ac:dyDescent="0.25">
      <c r="B154" s="47" t="s">
        <v>60</v>
      </c>
      <c r="D154" s="48"/>
      <c r="E154" s="116"/>
      <c r="F154" s="36"/>
      <c r="G154" s="49"/>
      <c r="H154" s="49"/>
      <c r="I154" s="50"/>
      <c r="J154" s="50"/>
      <c r="K154" s="50"/>
      <c r="L154" s="50"/>
    </row>
    <row r="155" spans="1:12" hidden="1" x14ac:dyDescent="0.25"/>
    <row r="156" spans="1:12" s="5" customFormat="1" x14ac:dyDescent="0.25">
      <c r="B156" s="5" t="s">
        <v>26</v>
      </c>
      <c r="D156" s="36"/>
      <c r="E156" s="52">
        <f>E157+E160+E164</f>
        <v>0</v>
      </c>
      <c r="F156" s="52">
        <f>F157+F160+F171+F164</f>
        <v>0</v>
      </c>
      <c r="G156" s="52">
        <f>G157+G160</f>
        <v>11000</v>
      </c>
      <c r="H156" s="36">
        <f>H157+H160+H171+H164</f>
        <v>0</v>
      </c>
    </row>
    <row r="157" spans="1:12" s="5" customFormat="1" x14ac:dyDescent="0.25">
      <c r="B157" s="5" t="s">
        <v>61</v>
      </c>
      <c r="D157" s="36"/>
      <c r="E157" s="52">
        <f>E158*E159</f>
        <v>0</v>
      </c>
      <c r="F157" s="52">
        <f t="shared" ref="F157:H157" si="51">F158*F159</f>
        <v>0</v>
      </c>
      <c r="G157" s="52">
        <f t="shared" si="51"/>
        <v>3300</v>
      </c>
      <c r="H157" s="52">
        <f t="shared" si="51"/>
        <v>0</v>
      </c>
      <c r="I157" s="6"/>
      <c r="J157" s="6"/>
      <c r="K157" s="6"/>
      <c r="L157" s="6"/>
    </row>
    <row r="158" spans="1:12" s="5" customFormat="1" x14ac:dyDescent="0.25">
      <c r="B158" s="47" t="s">
        <v>166</v>
      </c>
      <c r="D158" s="36"/>
      <c r="E158" s="52">
        <f>'Rates and GI'!$D$38</f>
        <v>300</v>
      </c>
      <c r="F158" s="52">
        <f>'Rates and GI'!$D$38</f>
        <v>300</v>
      </c>
      <c r="G158" s="52">
        <f>'Rates and GI'!$D$38</f>
        <v>300</v>
      </c>
      <c r="H158" s="52">
        <f>'Rates and GI'!$D$38</f>
        <v>300</v>
      </c>
      <c r="I158" s="6"/>
      <c r="J158" s="6"/>
      <c r="K158" s="6"/>
      <c r="L158" s="6"/>
    </row>
    <row r="159" spans="1:12" s="5" customFormat="1" x14ac:dyDescent="0.25">
      <c r="B159" s="47" t="s">
        <v>165</v>
      </c>
      <c r="D159" s="36"/>
      <c r="E159" s="52">
        <v>0</v>
      </c>
      <c r="F159" s="52">
        <v>0</v>
      </c>
      <c r="G159" s="52">
        <v>11</v>
      </c>
      <c r="H159" s="52">
        <v>0</v>
      </c>
      <c r="I159" s="6"/>
      <c r="J159" s="6"/>
      <c r="K159" s="6"/>
      <c r="L159" s="6"/>
    </row>
    <row r="160" spans="1:12" s="5" customFormat="1" x14ac:dyDescent="0.25">
      <c r="B160" s="5" t="s">
        <v>62</v>
      </c>
      <c r="D160" s="36"/>
      <c r="E160" s="52">
        <f>E161*E162</f>
        <v>0</v>
      </c>
      <c r="F160" s="52">
        <f t="shared" ref="F160:H160" si="52">F161*F162</f>
        <v>0</v>
      </c>
      <c r="G160" s="52">
        <f t="shared" si="52"/>
        <v>7700</v>
      </c>
      <c r="H160" s="52">
        <f t="shared" si="52"/>
        <v>0</v>
      </c>
      <c r="I160" s="6"/>
      <c r="J160" s="6"/>
      <c r="K160" s="6"/>
      <c r="L160" s="6"/>
    </row>
    <row r="161" spans="1:12" s="5" customFormat="1" x14ac:dyDescent="0.25">
      <c r="B161" s="47" t="s">
        <v>166</v>
      </c>
      <c r="D161" s="36"/>
      <c r="E161" s="52">
        <f>'Rates and GI'!$D$39</f>
        <v>350</v>
      </c>
      <c r="F161" s="52">
        <f>'Rates and GI'!$D$39</f>
        <v>350</v>
      </c>
      <c r="G161" s="52">
        <f>'Rates and GI'!$D$39</f>
        <v>350</v>
      </c>
      <c r="H161" s="52">
        <f>'Rates and GI'!$D$39</f>
        <v>350</v>
      </c>
      <c r="I161" s="6"/>
      <c r="J161" s="6"/>
      <c r="K161" s="6"/>
      <c r="L161" s="6"/>
    </row>
    <row r="162" spans="1:12" s="5" customFormat="1" x14ac:dyDescent="0.25">
      <c r="B162" s="47" t="s">
        <v>165</v>
      </c>
      <c r="D162" s="36"/>
      <c r="E162" s="52">
        <f>E159*2</f>
        <v>0</v>
      </c>
      <c r="F162" s="52">
        <v>0</v>
      </c>
      <c r="G162" s="52">
        <f t="shared" ref="G162:H162" si="53">G159*2</f>
        <v>22</v>
      </c>
      <c r="H162" s="52">
        <f t="shared" si="53"/>
        <v>0</v>
      </c>
      <c r="I162" s="6"/>
      <c r="J162" s="6"/>
      <c r="K162" s="6"/>
      <c r="L162" s="6"/>
    </row>
    <row r="163" spans="1:12" hidden="1" x14ac:dyDescent="0.25"/>
    <row r="164" spans="1:12" s="5" customFormat="1" hidden="1" x14ac:dyDescent="0.25">
      <c r="B164" s="5" t="s">
        <v>309</v>
      </c>
      <c r="D164" s="36"/>
      <c r="E164" s="36">
        <f>SUM(E165:E169)</f>
        <v>0</v>
      </c>
      <c r="F164" s="36">
        <f t="shared" ref="F164:H164" si="54">F165+F168</f>
        <v>0</v>
      </c>
      <c r="G164" s="36">
        <f t="shared" si="54"/>
        <v>0</v>
      </c>
      <c r="H164" s="36">
        <f t="shared" si="54"/>
        <v>0</v>
      </c>
      <c r="I164" s="6"/>
      <c r="J164" s="6"/>
      <c r="K164" s="6"/>
      <c r="L164" s="6"/>
    </row>
    <row r="165" spans="1:12" s="5" customFormat="1" hidden="1" x14ac:dyDescent="0.25">
      <c r="B165" s="47" t="s">
        <v>235</v>
      </c>
      <c r="D165" s="36"/>
      <c r="E165" s="36">
        <v>0</v>
      </c>
      <c r="F165" s="36"/>
      <c r="G165" s="29"/>
      <c r="H165" s="164"/>
      <c r="I165" s="6"/>
      <c r="J165" s="6"/>
      <c r="K165" s="6"/>
      <c r="L165" s="6"/>
    </row>
    <row r="166" spans="1:12" s="5" customFormat="1" hidden="1" x14ac:dyDescent="0.25">
      <c r="B166" s="47" t="s">
        <v>310</v>
      </c>
      <c r="D166" s="36"/>
      <c r="E166" s="36"/>
      <c r="F166" s="36"/>
      <c r="G166" s="29"/>
      <c r="H166" s="164"/>
      <c r="I166" s="6"/>
      <c r="J166" s="6"/>
      <c r="K166" s="6"/>
      <c r="L166" s="6"/>
    </row>
    <row r="167" spans="1:12" s="5" customFormat="1" hidden="1" x14ac:dyDescent="0.25">
      <c r="B167" s="47" t="s">
        <v>311</v>
      </c>
      <c r="D167" s="36"/>
      <c r="E167" s="36"/>
      <c r="F167" s="36"/>
      <c r="G167" s="29"/>
      <c r="H167" s="164"/>
      <c r="I167" s="6"/>
      <c r="J167" s="6"/>
      <c r="K167" s="6"/>
      <c r="L167" s="6"/>
    </row>
    <row r="168" spans="1:12" s="5" customFormat="1" hidden="1" x14ac:dyDescent="0.25">
      <c r="B168" s="47" t="s">
        <v>236</v>
      </c>
      <c r="D168" s="36"/>
      <c r="E168" s="36">
        <v>0</v>
      </c>
      <c r="F168" s="36"/>
      <c r="G168" s="29"/>
      <c r="H168" s="164"/>
      <c r="I168" s="6"/>
      <c r="J168" s="6"/>
      <c r="K168" s="6"/>
      <c r="L168" s="6"/>
    </row>
    <row r="169" spans="1:12" s="5" customFormat="1" hidden="1" x14ac:dyDescent="0.25">
      <c r="B169" s="47" t="s">
        <v>312</v>
      </c>
      <c r="D169" s="36"/>
      <c r="E169" s="36"/>
      <c r="F169" s="36"/>
      <c r="G169" s="29"/>
      <c r="H169" s="164"/>
      <c r="I169" s="6"/>
      <c r="J169" s="6"/>
      <c r="K169" s="6"/>
      <c r="L169" s="6"/>
    </row>
    <row r="171" spans="1:12" s="70" customFormat="1" x14ac:dyDescent="0.25">
      <c r="A171" s="98"/>
      <c r="B171" s="98" t="s">
        <v>8</v>
      </c>
      <c r="C171" s="98"/>
      <c r="D171" s="60"/>
      <c r="E171" s="60">
        <f>E172*E173</f>
        <v>0</v>
      </c>
      <c r="F171" s="60">
        <f t="shared" ref="F171:H171" si="55">F172*F173</f>
        <v>0</v>
      </c>
      <c r="G171" s="60">
        <f t="shared" si="55"/>
        <v>5500</v>
      </c>
      <c r="H171" s="60">
        <f t="shared" si="55"/>
        <v>0</v>
      </c>
    </row>
    <row r="172" spans="1:12" s="94" customFormat="1" x14ac:dyDescent="0.25">
      <c r="B172" s="47" t="s">
        <v>166</v>
      </c>
      <c r="D172" s="52"/>
      <c r="E172" s="52">
        <f>'Rates and GI'!$D$40</f>
        <v>100</v>
      </c>
      <c r="F172" s="52">
        <f>'Rates and GI'!$D$40</f>
        <v>100</v>
      </c>
      <c r="G172" s="52">
        <f>'Rates and GI'!$D$40</f>
        <v>100</v>
      </c>
      <c r="H172" s="52">
        <f>'Rates and GI'!$D$40</f>
        <v>100</v>
      </c>
      <c r="I172" s="70"/>
      <c r="J172" s="70"/>
      <c r="K172" s="70"/>
      <c r="L172" s="70"/>
    </row>
    <row r="173" spans="1:12" s="94" customFormat="1" x14ac:dyDescent="0.25">
      <c r="B173" s="47" t="s">
        <v>165</v>
      </c>
      <c r="D173" s="52"/>
      <c r="E173" s="52">
        <f>E159*5</f>
        <v>0</v>
      </c>
      <c r="F173" s="52">
        <f>F159*5</f>
        <v>0</v>
      </c>
      <c r="G173" s="52">
        <f t="shared" ref="G173:H173" si="56">G159*5</f>
        <v>55</v>
      </c>
      <c r="H173" s="52">
        <f t="shared" si="56"/>
        <v>0</v>
      </c>
      <c r="I173" s="70"/>
      <c r="J173" s="70"/>
      <c r="K173" s="70"/>
      <c r="L173" s="70"/>
    </row>
    <row r="174" spans="1:12" s="70" customFormat="1" x14ac:dyDescent="0.25">
      <c r="A174" s="98"/>
      <c r="B174" s="98"/>
      <c r="C174" s="98"/>
      <c r="D174" s="60"/>
      <c r="E174" s="60"/>
      <c r="F174" s="60"/>
      <c r="G174" s="60"/>
      <c r="H174" s="60"/>
    </row>
    <row r="175" spans="1:12" hidden="1" x14ac:dyDescent="0.25">
      <c r="A175" s="58"/>
      <c r="B175" s="163" t="s">
        <v>313</v>
      </c>
      <c r="C175" s="58"/>
      <c r="D175" s="59"/>
      <c r="E175" s="60">
        <f>E176*E178</f>
        <v>0</v>
      </c>
      <c r="F175" s="60">
        <f t="shared" ref="F175:H175" si="57">F176*F178</f>
        <v>0</v>
      </c>
      <c r="G175" s="60">
        <f t="shared" si="57"/>
        <v>0</v>
      </c>
      <c r="H175" s="60">
        <f t="shared" si="57"/>
        <v>0</v>
      </c>
    </row>
    <row r="176" spans="1:12" s="5" customFormat="1" hidden="1" x14ac:dyDescent="0.25">
      <c r="B176" s="47" t="s">
        <v>314</v>
      </c>
      <c r="D176" s="36"/>
      <c r="E176" s="52">
        <f>'Rates and GI'!$D$41</f>
        <v>10500</v>
      </c>
      <c r="F176" s="52">
        <f>'Rates and GI'!$D$41</f>
        <v>10500</v>
      </c>
      <c r="G176" s="52">
        <f>'Rates and GI'!$D$41</f>
        <v>10500</v>
      </c>
      <c r="H176" s="52">
        <f>'Rates and GI'!$D$41</f>
        <v>10500</v>
      </c>
      <c r="I176" s="6"/>
      <c r="J176" s="6"/>
      <c r="K176" s="6"/>
      <c r="L176" s="6"/>
    </row>
    <row r="177" spans="1:12" s="5" customFormat="1" hidden="1" x14ac:dyDescent="0.25">
      <c r="B177" s="47" t="s">
        <v>315</v>
      </c>
      <c r="D177" s="36"/>
      <c r="E177" s="52">
        <f>'Rates and GI'!$D$42</f>
        <v>21300</v>
      </c>
      <c r="F177" s="52">
        <f>'Rates and GI'!$D$42</f>
        <v>21300</v>
      </c>
      <c r="G177" s="52">
        <f>'Rates and GI'!$D$42</f>
        <v>21300</v>
      </c>
      <c r="H177" s="52">
        <f>'Rates and GI'!$D$42</f>
        <v>21300</v>
      </c>
      <c r="I177" s="6"/>
      <c r="J177" s="6"/>
      <c r="K177" s="6"/>
      <c r="L177" s="6"/>
    </row>
    <row r="178" spans="1:12" s="5" customFormat="1" hidden="1" x14ac:dyDescent="0.25">
      <c r="B178" s="47" t="s">
        <v>316</v>
      </c>
      <c r="D178" s="36"/>
      <c r="E178" s="52">
        <v>0</v>
      </c>
      <c r="F178" s="52">
        <v>0</v>
      </c>
      <c r="G178" s="52">
        <v>0</v>
      </c>
      <c r="H178" s="52">
        <v>0</v>
      </c>
      <c r="I178" s="6"/>
      <c r="J178" s="6"/>
      <c r="K178" s="6"/>
      <c r="L178" s="6"/>
    </row>
    <row r="179" spans="1:12" s="5" customFormat="1" hidden="1" x14ac:dyDescent="0.25">
      <c r="B179" s="47" t="s">
        <v>317</v>
      </c>
      <c r="D179" s="36"/>
      <c r="E179" s="52">
        <v>0</v>
      </c>
      <c r="F179" s="52">
        <v>0</v>
      </c>
      <c r="G179" s="52">
        <v>0</v>
      </c>
      <c r="H179" s="52">
        <v>0</v>
      </c>
      <c r="I179" s="6"/>
      <c r="J179" s="6"/>
      <c r="K179" s="6"/>
      <c r="L179" s="6"/>
    </row>
    <row r="180" spans="1:12" hidden="1" x14ac:dyDescent="0.25">
      <c r="E180" s="52"/>
      <c r="F180" s="52"/>
      <c r="G180" s="44"/>
      <c r="H180" s="44"/>
    </row>
    <row r="181" spans="1:12" hidden="1" x14ac:dyDescent="0.25">
      <c r="A181" s="58"/>
      <c r="B181" s="58" t="s">
        <v>25</v>
      </c>
      <c r="C181" s="58"/>
      <c r="D181" s="59"/>
      <c r="E181" s="59"/>
      <c r="F181" s="59"/>
      <c r="G181" s="59"/>
      <c r="H181" s="59"/>
    </row>
    <row r="182" spans="1:12" s="5" customFormat="1" hidden="1" x14ac:dyDescent="0.25">
      <c r="B182" s="47" t="s">
        <v>64</v>
      </c>
      <c r="D182" s="36"/>
      <c r="E182" s="36"/>
      <c r="F182" s="36"/>
      <c r="G182" s="29"/>
      <c r="H182" s="29"/>
      <c r="I182" s="6"/>
      <c r="J182" s="6"/>
      <c r="K182" s="6"/>
      <c r="L182" s="6"/>
    </row>
    <row r="183" spans="1:12" s="5" customFormat="1" hidden="1" x14ac:dyDescent="0.25">
      <c r="B183" s="47" t="s">
        <v>63</v>
      </c>
      <c r="D183" s="36"/>
      <c r="E183" s="36"/>
      <c r="F183" s="36"/>
      <c r="G183" s="29"/>
      <c r="H183" s="29"/>
      <c r="I183" s="6"/>
      <c r="J183" s="6"/>
      <c r="K183" s="6"/>
      <c r="L183" s="6"/>
    </row>
    <row r="184" spans="1:12" s="5" customFormat="1" hidden="1" x14ac:dyDescent="0.25">
      <c r="B184" s="47" t="s">
        <v>65</v>
      </c>
      <c r="D184" s="36"/>
      <c r="E184" s="36"/>
      <c r="F184" s="36"/>
      <c r="G184" s="29"/>
      <c r="H184" s="29"/>
      <c r="I184" s="6"/>
      <c r="J184" s="6"/>
      <c r="K184" s="6"/>
      <c r="L184" s="6"/>
    </row>
    <row r="185" spans="1:12" s="5" customFormat="1" hidden="1" x14ac:dyDescent="0.25">
      <c r="B185" s="5" t="s">
        <v>173</v>
      </c>
      <c r="D185" s="36"/>
      <c r="E185" s="36">
        <f>E186+E187*E188</f>
        <v>0</v>
      </c>
      <c r="F185" s="36">
        <f t="shared" ref="F185:H185" si="58">F186+F187*F188</f>
        <v>0</v>
      </c>
      <c r="G185" s="36">
        <f t="shared" si="58"/>
        <v>0</v>
      </c>
      <c r="H185" s="36">
        <f t="shared" si="58"/>
        <v>0</v>
      </c>
    </row>
    <row r="186" spans="1:12" hidden="1" x14ac:dyDescent="0.25">
      <c r="B186" s="47" t="s">
        <v>220</v>
      </c>
      <c r="F186" s="36">
        <f>'Rates and GI'!D56*0</f>
        <v>0</v>
      </c>
    </row>
    <row r="187" spans="1:12" hidden="1" x14ac:dyDescent="0.25">
      <c r="B187" s="47" t="s">
        <v>178</v>
      </c>
      <c r="E187" s="73">
        <f>'Rates and GI'!$D$59</f>
        <v>0.02</v>
      </c>
      <c r="F187" s="73">
        <f>'Rates and GI'!$D$59</f>
        <v>0.02</v>
      </c>
      <c r="G187" s="73">
        <f>'Rates and GI'!$D$59</f>
        <v>0.02</v>
      </c>
      <c r="H187" s="73">
        <f>'Rates and GI'!$D$59</f>
        <v>0.02</v>
      </c>
    </row>
    <row r="188" spans="1:12" hidden="1" x14ac:dyDescent="0.25">
      <c r="B188" s="47" t="s">
        <v>179</v>
      </c>
      <c r="E188" s="36">
        <v>0</v>
      </c>
      <c r="F188" s="36">
        <v>0</v>
      </c>
      <c r="G188" s="36">
        <v>0</v>
      </c>
      <c r="H188" s="36">
        <v>0</v>
      </c>
    </row>
    <row r="189" spans="1:12" s="5" customFormat="1" hidden="1" x14ac:dyDescent="0.25">
      <c r="B189" s="47"/>
      <c r="D189" s="36"/>
      <c r="E189" s="36"/>
      <c r="F189" s="36"/>
      <c r="G189" s="29"/>
      <c r="H189" s="29"/>
      <c r="I189" s="6"/>
      <c r="J189" s="6"/>
      <c r="K189" s="6"/>
      <c r="L189" s="6"/>
    </row>
    <row r="190" spans="1:12" hidden="1" x14ac:dyDescent="0.25">
      <c r="A190" s="58"/>
      <c r="B190" s="58" t="s">
        <v>241</v>
      </c>
      <c r="C190" s="58"/>
      <c r="D190" s="59"/>
      <c r="E190" s="59">
        <f>E191+E199</f>
        <v>0</v>
      </c>
      <c r="F190" s="59">
        <f t="shared" ref="F190:H190" si="59">F191+F199</f>
        <v>0</v>
      </c>
      <c r="G190" s="59">
        <f t="shared" si="59"/>
        <v>0</v>
      </c>
      <c r="H190" s="59">
        <f t="shared" si="59"/>
        <v>0</v>
      </c>
      <c r="I190" s="70"/>
    </row>
    <row r="191" spans="1:12" hidden="1" x14ac:dyDescent="0.25">
      <c r="B191" s="5" t="s">
        <v>278</v>
      </c>
      <c r="E191" s="36">
        <f>SUM(E194:E197)</f>
        <v>0</v>
      </c>
      <c r="F191" s="36">
        <f t="shared" ref="F191:H191" si="60">SUM(F194:F197)</f>
        <v>0</v>
      </c>
      <c r="G191" s="36">
        <f t="shared" si="60"/>
        <v>0</v>
      </c>
      <c r="H191" s="36">
        <f t="shared" si="60"/>
        <v>0</v>
      </c>
      <c r="I191" s="70"/>
    </row>
    <row r="192" spans="1:12" hidden="1" x14ac:dyDescent="0.25">
      <c r="B192" s="47" t="s">
        <v>238</v>
      </c>
      <c r="C192" s="5" t="s">
        <v>56</v>
      </c>
      <c r="E192" s="36">
        <v>0</v>
      </c>
      <c r="F192" s="36">
        <f>$F$151</f>
        <v>0</v>
      </c>
      <c r="G192" s="36">
        <f t="shared" ref="G192:H192" si="61">$F$151</f>
        <v>0</v>
      </c>
      <c r="H192" s="36">
        <f t="shared" si="61"/>
        <v>0</v>
      </c>
      <c r="I192" s="70"/>
    </row>
    <row r="193" spans="1:12" hidden="1" x14ac:dyDescent="0.25">
      <c r="B193" s="47" t="s">
        <v>40</v>
      </c>
      <c r="E193" s="36">
        <v>0</v>
      </c>
      <c r="F193" s="36">
        <v>4</v>
      </c>
      <c r="G193" s="36">
        <v>12</v>
      </c>
      <c r="H193" s="36">
        <v>12</v>
      </c>
      <c r="I193" s="70"/>
    </row>
    <row r="194" spans="1:12" s="5" customFormat="1" hidden="1" x14ac:dyDescent="0.25">
      <c r="B194" s="47" t="s">
        <v>237</v>
      </c>
      <c r="D194" s="36"/>
      <c r="E194" s="36">
        <f>'Rates and GI'!$D$47/500*E192*E193</f>
        <v>0</v>
      </c>
      <c r="F194" s="36">
        <f>'Rates and GI'!$D$47/500*F192*F193</f>
        <v>0</v>
      </c>
      <c r="G194" s="36">
        <f>'Rates and GI'!$D$47/500*G192*G193</f>
        <v>0</v>
      </c>
      <c r="H194" s="36">
        <f>'Rates and GI'!$D$47/500*H192*H193</f>
        <v>0</v>
      </c>
      <c r="I194" s="70"/>
      <c r="J194" s="6"/>
      <c r="K194" s="6"/>
      <c r="L194" s="6"/>
    </row>
    <row r="195" spans="1:12" s="5" customFormat="1" hidden="1" x14ac:dyDescent="0.25">
      <c r="B195" s="47" t="s">
        <v>18</v>
      </c>
      <c r="D195" s="36"/>
      <c r="E195" s="36">
        <f>'Rates and GI'!$D$48/500*E192*E193</f>
        <v>0</v>
      </c>
      <c r="F195" s="36">
        <f>'Rates and GI'!$D$48/500*F192*F193</f>
        <v>0</v>
      </c>
      <c r="G195" s="36">
        <f>'Rates and GI'!$D$48/500*G192*G193</f>
        <v>0</v>
      </c>
      <c r="H195" s="36">
        <f>'Rates and GI'!$D$48/500*H192*H193</f>
        <v>0</v>
      </c>
      <c r="I195" s="70"/>
      <c r="J195" s="6"/>
      <c r="K195" s="6"/>
      <c r="L195" s="6"/>
    </row>
    <row r="196" spans="1:12" s="5" customFormat="1" hidden="1" x14ac:dyDescent="0.25">
      <c r="B196" s="47" t="s">
        <v>19</v>
      </c>
      <c r="D196" s="36"/>
      <c r="E196" s="36">
        <f>'Rates and GI'!$D$49/500*E192*E193</f>
        <v>0</v>
      </c>
      <c r="F196" s="36">
        <f>'Rates and GI'!$D$49/500*F192*F193</f>
        <v>0</v>
      </c>
      <c r="G196" s="36">
        <f>'Rates and GI'!$D$49/500*G192*G193</f>
        <v>0</v>
      </c>
      <c r="H196" s="36">
        <f>'Rates and GI'!$D$49/500*H192*H193</f>
        <v>0</v>
      </c>
      <c r="I196" s="70"/>
      <c r="J196" s="6"/>
      <c r="K196" s="6"/>
      <c r="L196" s="6"/>
    </row>
    <row r="197" spans="1:12" s="5" customFormat="1" hidden="1" x14ac:dyDescent="0.25">
      <c r="B197" s="47" t="s">
        <v>22</v>
      </c>
      <c r="D197" s="36"/>
      <c r="E197" s="36">
        <f>'Rates and GI'!$D$50/500*E192*E193</f>
        <v>0</v>
      </c>
      <c r="F197" s="36">
        <f>'Rates and GI'!$D$50/500*F192*F193</f>
        <v>0</v>
      </c>
      <c r="G197" s="36">
        <f>'Rates and GI'!$D$50/500*G192*G193</f>
        <v>0</v>
      </c>
      <c r="H197" s="36">
        <f>'Rates and GI'!$D$50/500*H192*H193</f>
        <v>0</v>
      </c>
      <c r="I197" s="70"/>
      <c r="J197" s="6"/>
      <c r="K197" s="6"/>
      <c r="L197" s="6"/>
    </row>
    <row r="198" spans="1:12" s="5" customFormat="1" hidden="1" x14ac:dyDescent="0.25">
      <c r="B198" s="47"/>
      <c r="D198" s="36"/>
      <c r="E198" s="36"/>
      <c r="F198" s="36"/>
      <c r="G198" s="29"/>
      <c r="H198" s="29"/>
      <c r="I198" s="6"/>
      <c r="J198" s="6"/>
      <c r="K198" s="6"/>
      <c r="L198" s="6"/>
    </row>
    <row r="199" spans="1:12" s="5" customFormat="1" hidden="1" x14ac:dyDescent="0.25">
      <c r="B199" s="5" t="s">
        <v>13</v>
      </c>
      <c r="D199" s="36"/>
      <c r="E199" s="36">
        <f>E200*E201/12*E193</f>
        <v>0</v>
      </c>
      <c r="F199" s="36">
        <f t="shared" ref="F199:H199" si="62">F200*F201</f>
        <v>0</v>
      </c>
      <c r="G199" s="36">
        <f t="shared" si="62"/>
        <v>0</v>
      </c>
      <c r="H199" s="36">
        <f t="shared" si="62"/>
        <v>0</v>
      </c>
      <c r="I199" s="6"/>
      <c r="J199" s="6"/>
      <c r="K199" s="6"/>
      <c r="L199" s="6"/>
    </row>
    <row r="200" spans="1:12" s="5" customFormat="1" hidden="1" x14ac:dyDescent="0.25">
      <c r="B200" s="47" t="s">
        <v>239</v>
      </c>
      <c r="D200" s="36"/>
      <c r="E200" s="36">
        <v>0</v>
      </c>
      <c r="F200" s="36">
        <v>0</v>
      </c>
      <c r="G200" s="36">
        <v>0</v>
      </c>
      <c r="H200" s="36">
        <v>0</v>
      </c>
      <c r="I200" s="6"/>
      <c r="J200" s="6"/>
      <c r="K200" s="6"/>
      <c r="L200" s="6"/>
    </row>
    <row r="201" spans="1:12" s="5" customFormat="1" hidden="1" x14ac:dyDescent="0.25">
      <c r="B201" s="47" t="s">
        <v>242</v>
      </c>
      <c r="C201" s="78"/>
      <c r="D201" s="36"/>
      <c r="E201" s="36">
        <f>'Rates and GI'!$D$51</f>
        <v>3000</v>
      </c>
      <c r="F201" s="36">
        <f>'Rates and GI'!$D$51</f>
        <v>3000</v>
      </c>
      <c r="G201" s="36">
        <f>'Rates and GI'!$D$51</f>
        <v>3000</v>
      </c>
      <c r="H201" s="36">
        <f>'Rates and GI'!$D$51</f>
        <v>3000</v>
      </c>
      <c r="I201" s="6"/>
      <c r="J201" s="6"/>
      <c r="K201" s="6"/>
      <c r="L201" s="6"/>
    </row>
    <row r="202" spans="1:12" s="5" customFormat="1" hidden="1" x14ac:dyDescent="0.25">
      <c r="B202" s="47"/>
      <c r="D202" s="36"/>
      <c r="E202" s="36"/>
      <c r="F202" s="36"/>
      <c r="G202" s="29"/>
      <c r="H202" s="29"/>
      <c r="I202" s="6"/>
      <c r="J202" s="6"/>
      <c r="K202" s="6"/>
      <c r="L202" s="6"/>
    </row>
    <row r="203" spans="1:12" hidden="1" x14ac:dyDescent="0.25">
      <c r="A203" s="58"/>
      <c r="B203" s="58" t="s">
        <v>21</v>
      </c>
      <c r="C203" s="58"/>
      <c r="D203" s="59"/>
      <c r="E203" s="60">
        <f>E204*E205+E206*E207++E208*E209+E210*E211</f>
        <v>0</v>
      </c>
      <c r="F203" s="60">
        <f t="shared" ref="F203:H203" si="63">F204*F205+F206*F207++F208*F209+F210*F211</f>
        <v>0</v>
      </c>
      <c r="G203" s="60">
        <f t="shared" si="63"/>
        <v>0</v>
      </c>
      <c r="H203" s="60">
        <f t="shared" si="63"/>
        <v>0</v>
      </c>
    </row>
    <row r="204" spans="1:12" hidden="1" x14ac:dyDescent="0.25">
      <c r="B204" s="47" t="s">
        <v>169</v>
      </c>
      <c r="E204" s="52"/>
      <c r="F204" s="52"/>
      <c r="G204" s="52">
        <v>0</v>
      </c>
      <c r="H204" s="52"/>
    </row>
    <row r="205" spans="1:12" hidden="1" x14ac:dyDescent="0.25">
      <c r="B205" s="47" t="s">
        <v>170</v>
      </c>
      <c r="E205" s="52">
        <f>'Rates and GI'!$D$69</f>
        <v>5000</v>
      </c>
      <c r="F205" s="52">
        <f>'Rates and GI'!$D$69</f>
        <v>5000</v>
      </c>
      <c r="G205" s="52">
        <f>'Rates and GI'!$D$69</f>
        <v>5000</v>
      </c>
      <c r="H205" s="52">
        <f>'Rates and GI'!$D$69</f>
        <v>5000</v>
      </c>
    </row>
    <row r="206" spans="1:12" hidden="1" x14ac:dyDescent="0.25">
      <c r="B206" s="47" t="s">
        <v>167</v>
      </c>
      <c r="E206" s="52"/>
      <c r="F206" s="52">
        <v>0</v>
      </c>
      <c r="G206" s="52">
        <v>0</v>
      </c>
      <c r="H206" s="52">
        <v>0</v>
      </c>
    </row>
    <row r="207" spans="1:12" hidden="1" x14ac:dyDescent="0.25">
      <c r="B207" s="47" t="s">
        <v>168</v>
      </c>
      <c r="E207" s="52">
        <f>'Rates and GI'!$D$70</f>
        <v>1500</v>
      </c>
      <c r="F207" s="52">
        <f>'Rates and GI'!$D$70</f>
        <v>1500</v>
      </c>
      <c r="G207" s="52">
        <f>'Rates and GI'!$D$70</f>
        <v>1500</v>
      </c>
      <c r="H207" s="52">
        <f>'Rates and GI'!$D$70</f>
        <v>1500</v>
      </c>
    </row>
    <row r="208" spans="1:12" ht="27" hidden="1" x14ac:dyDescent="0.25">
      <c r="B208" s="71" t="s">
        <v>183</v>
      </c>
      <c r="E208" s="52">
        <v>0</v>
      </c>
      <c r="F208" s="52">
        <v>0</v>
      </c>
      <c r="G208" s="52">
        <v>0</v>
      </c>
      <c r="H208" s="52">
        <v>0</v>
      </c>
    </row>
    <row r="209" spans="1:12" ht="27" hidden="1" x14ac:dyDescent="0.25">
      <c r="B209" s="71" t="s">
        <v>182</v>
      </c>
      <c r="E209" s="52">
        <f>'Rates and GI'!$D$71</f>
        <v>200</v>
      </c>
      <c r="F209" s="52">
        <f>'Rates and GI'!$D$71</f>
        <v>200</v>
      </c>
      <c r="G209" s="52">
        <f>'Rates and GI'!$D$71</f>
        <v>200</v>
      </c>
      <c r="H209" s="52">
        <f>'Rates and GI'!$D$71</f>
        <v>200</v>
      </c>
    </row>
    <row r="210" spans="1:12" s="5" customFormat="1" hidden="1" x14ac:dyDescent="0.25">
      <c r="B210" s="47" t="s">
        <v>354</v>
      </c>
      <c r="D210" s="36"/>
      <c r="E210" s="52">
        <v>0</v>
      </c>
      <c r="F210" s="52">
        <v>0</v>
      </c>
      <c r="G210" s="52">
        <v>0</v>
      </c>
      <c r="H210" s="52">
        <v>0</v>
      </c>
      <c r="I210" s="6"/>
      <c r="J210" s="6"/>
      <c r="K210" s="6"/>
      <c r="L210" s="6"/>
    </row>
    <row r="211" spans="1:12" s="5" customFormat="1" hidden="1" x14ac:dyDescent="0.25">
      <c r="B211" s="47" t="s">
        <v>349</v>
      </c>
      <c r="D211" s="36"/>
      <c r="E211" s="52">
        <f>'Rates and GI'!$D$72</f>
        <v>50</v>
      </c>
      <c r="F211" s="52">
        <f>'Rates and GI'!$D$72</f>
        <v>50</v>
      </c>
      <c r="G211" s="52">
        <f>'Rates and GI'!$D$72</f>
        <v>50</v>
      </c>
      <c r="H211" s="52">
        <f>'Rates and GI'!$D$72</f>
        <v>50</v>
      </c>
      <c r="I211" s="6"/>
      <c r="J211" s="6"/>
      <c r="K211" s="6"/>
      <c r="L211" s="6"/>
    </row>
    <row r="212" spans="1:12" hidden="1" x14ac:dyDescent="0.25">
      <c r="E212" s="52"/>
      <c r="F212" s="52"/>
      <c r="G212" s="44"/>
      <c r="H212" s="44"/>
    </row>
    <row r="213" spans="1:12" hidden="1" x14ac:dyDescent="0.25">
      <c r="A213" s="58"/>
      <c r="B213" s="58" t="s">
        <v>218</v>
      </c>
      <c r="C213" s="58"/>
      <c r="D213" s="59"/>
      <c r="E213" s="60">
        <f>E214+E217+E220+E229+E234</f>
        <v>0</v>
      </c>
      <c r="F213" s="60">
        <f t="shared" ref="F213:H213" si="64">F214+F217+F220+F229+F234</f>
        <v>0</v>
      </c>
      <c r="G213" s="60">
        <f t="shared" si="64"/>
        <v>0</v>
      </c>
      <c r="H213" s="60">
        <f t="shared" si="64"/>
        <v>0</v>
      </c>
    </row>
    <row r="214" spans="1:12" s="5" customFormat="1" hidden="1" x14ac:dyDescent="0.25">
      <c r="B214" s="5" t="s">
        <v>197</v>
      </c>
      <c r="D214" s="36"/>
      <c r="E214" s="52">
        <f>E215+E218*E219</f>
        <v>0</v>
      </c>
      <c r="F214" s="52">
        <f>F215+F218*F219</f>
        <v>0</v>
      </c>
      <c r="G214" s="52">
        <f>G215+G218*G219</f>
        <v>0</v>
      </c>
      <c r="H214" s="52">
        <f t="shared" ref="H214" si="65">H215+H218*H219</f>
        <v>0</v>
      </c>
    </row>
    <row r="215" spans="1:12" hidden="1" x14ac:dyDescent="0.25">
      <c r="B215" s="47" t="s">
        <v>208</v>
      </c>
      <c r="E215" s="52"/>
      <c r="F215" s="52">
        <f>('Rates and GI'!$D$56+'Rates and GI'!$D$60)*0</f>
        <v>0</v>
      </c>
      <c r="G215" s="52">
        <f>('Rates and GI'!$D$56+'Rates and GI'!$D$60)*0</f>
        <v>0</v>
      </c>
      <c r="H215" s="52"/>
    </row>
    <row r="216" spans="1:12" hidden="1" x14ac:dyDescent="0.25">
      <c r="B216" s="47" t="s">
        <v>211</v>
      </c>
      <c r="E216" s="52"/>
      <c r="F216" s="52">
        <f>'Rates and GI'!$D$62*0</f>
        <v>0</v>
      </c>
      <c r="G216" s="52">
        <f>'Rates and GI'!$D$62*0</f>
        <v>0</v>
      </c>
      <c r="H216" s="52"/>
    </row>
    <row r="217" spans="1:12" hidden="1" x14ac:dyDescent="0.25">
      <c r="B217" s="5" t="s">
        <v>198</v>
      </c>
      <c r="E217" s="52">
        <f>E218*E219</f>
        <v>0</v>
      </c>
      <c r="F217" s="52">
        <f t="shared" ref="F217:H217" si="66">F218*F219</f>
        <v>0</v>
      </c>
      <c r="G217" s="52">
        <f t="shared" si="66"/>
        <v>0</v>
      </c>
      <c r="H217" s="52">
        <f t="shared" si="66"/>
        <v>0</v>
      </c>
    </row>
    <row r="218" spans="1:12" hidden="1" x14ac:dyDescent="0.25">
      <c r="B218" s="47" t="s">
        <v>186</v>
      </c>
      <c r="E218" s="52"/>
      <c r="F218" s="52">
        <f>'Rates and GI'!$D$65</f>
        <v>24.1465</v>
      </c>
      <c r="G218" s="52">
        <f>'Rates and GI'!$D$65</f>
        <v>24.1465</v>
      </c>
      <c r="H218" s="52">
        <f>'Rates and GI'!$D$65</f>
        <v>24.1465</v>
      </c>
    </row>
    <row r="219" spans="1:12" hidden="1" x14ac:dyDescent="0.25">
      <c r="B219" s="47" t="s">
        <v>185</v>
      </c>
      <c r="E219" s="52"/>
      <c r="F219" s="52">
        <v>0</v>
      </c>
      <c r="G219" s="52">
        <v>0</v>
      </c>
      <c r="H219" s="52">
        <v>0</v>
      </c>
    </row>
    <row r="220" spans="1:12" hidden="1" x14ac:dyDescent="0.25">
      <c r="B220" s="5" t="s">
        <v>199</v>
      </c>
      <c r="E220" s="52">
        <f>E221+E225</f>
        <v>0</v>
      </c>
      <c r="F220" s="52">
        <f t="shared" ref="F220:H220" si="67">F221+F225</f>
        <v>0</v>
      </c>
      <c r="G220" s="52">
        <f t="shared" si="67"/>
        <v>0</v>
      </c>
      <c r="H220" s="52">
        <f t="shared" si="67"/>
        <v>0</v>
      </c>
    </row>
    <row r="221" spans="1:12" hidden="1" x14ac:dyDescent="0.25">
      <c r="B221" s="47" t="s">
        <v>213</v>
      </c>
      <c r="E221" s="52">
        <f>E222*E223</f>
        <v>0</v>
      </c>
      <c r="F221" s="52">
        <f t="shared" ref="F221:H221" si="68">F222*F223</f>
        <v>0</v>
      </c>
      <c r="G221" s="52">
        <f t="shared" si="68"/>
        <v>0</v>
      </c>
      <c r="H221" s="52">
        <f t="shared" si="68"/>
        <v>0</v>
      </c>
    </row>
    <row r="222" spans="1:12" hidden="1" x14ac:dyDescent="0.25">
      <c r="B222" s="47" t="s">
        <v>200</v>
      </c>
      <c r="C222" s="5" t="s">
        <v>201</v>
      </c>
      <c r="E222" s="52">
        <v>0</v>
      </c>
      <c r="F222" s="52">
        <v>0</v>
      </c>
      <c r="G222" s="52">
        <v>0</v>
      </c>
      <c r="H222" s="52">
        <v>0</v>
      </c>
    </row>
    <row r="223" spans="1:12" hidden="1" x14ac:dyDescent="0.25">
      <c r="B223" s="47" t="s">
        <v>202</v>
      </c>
      <c r="E223" s="52">
        <f>'Rates and GI'!$D$63</f>
        <v>150</v>
      </c>
      <c r="F223" s="52">
        <f>'Rates and GI'!$D$63</f>
        <v>150</v>
      </c>
      <c r="G223" s="52">
        <f>'Rates and GI'!$D$63</f>
        <v>150</v>
      </c>
      <c r="H223" s="52">
        <f>'Rates and GI'!$D$63</f>
        <v>150</v>
      </c>
    </row>
    <row r="224" spans="1:12" hidden="1" x14ac:dyDescent="0.25">
      <c r="B224" s="6"/>
      <c r="E224" s="52"/>
      <c r="F224" s="52"/>
      <c r="G224" s="44"/>
      <c r="H224" s="44"/>
    </row>
    <row r="225" spans="2:8" hidden="1" x14ac:dyDescent="0.25">
      <c r="B225" s="47" t="s">
        <v>214</v>
      </c>
      <c r="E225" s="52">
        <f>E226*E227</f>
        <v>0</v>
      </c>
      <c r="F225" s="52">
        <f t="shared" ref="F225:H225" si="69">F226*F227</f>
        <v>0</v>
      </c>
      <c r="G225" s="52">
        <f t="shared" si="69"/>
        <v>0</v>
      </c>
      <c r="H225" s="52">
        <f t="shared" si="69"/>
        <v>0</v>
      </c>
    </row>
    <row r="226" spans="2:8" hidden="1" x14ac:dyDescent="0.25">
      <c r="B226" s="47" t="s">
        <v>200</v>
      </c>
      <c r="C226" s="5" t="s">
        <v>201</v>
      </c>
      <c r="E226" s="52">
        <v>0</v>
      </c>
      <c r="F226" s="52">
        <v>0</v>
      </c>
      <c r="G226" s="52">
        <v>0</v>
      </c>
      <c r="H226" s="52">
        <v>0</v>
      </c>
    </row>
    <row r="227" spans="2:8" hidden="1" x14ac:dyDescent="0.25">
      <c r="B227" s="47" t="s">
        <v>202</v>
      </c>
      <c r="E227" s="52">
        <f>'Rates and GI'!$D$64</f>
        <v>20</v>
      </c>
      <c r="F227" s="52">
        <f>'Rates and GI'!$D$64</f>
        <v>20</v>
      </c>
      <c r="G227" s="52">
        <f>'Rates and GI'!$D$64</f>
        <v>20</v>
      </c>
      <c r="H227" s="52">
        <f>'Rates and GI'!$D$64</f>
        <v>20</v>
      </c>
    </row>
    <row r="228" spans="2:8" hidden="1" x14ac:dyDescent="0.25">
      <c r="B228" s="6"/>
      <c r="E228" s="52"/>
      <c r="F228" s="52"/>
      <c r="G228" s="44"/>
      <c r="H228" s="44"/>
    </row>
    <row r="229" spans="2:8" hidden="1" x14ac:dyDescent="0.25">
      <c r="B229" s="5" t="s">
        <v>203</v>
      </c>
      <c r="E229" s="52">
        <f>E230*E231*E232</f>
        <v>0</v>
      </c>
      <c r="F229" s="52">
        <f t="shared" ref="F229:H229" si="70">F230*F231*F232</f>
        <v>0</v>
      </c>
      <c r="G229" s="52">
        <f t="shared" si="70"/>
        <v>0</v>
      </c>
      <c r="H229" s="52">
        <f t="shared" si="70"/>
        <v>0</v>
      </c>
    </row>
    <row r="230" spans="2:8" hidden="1" x14ac:dyDescent="0.25">
      <c r="B230" s="47" t="s">
        <v>215</v>
      </c>
      <c r="E230" s="52"/>
      <c r="F230" s="52">
        <f>'Rates and GI'!$D$66</f>
        <v>300</v>
      </c>
      <c r="G230" s="52">
        <f>'Rates and GI'!$D$66</f>
        <v>300</v>
      </c>
      <c r="H230" s="52">
        <f>'Rates and GI'!$D$66</f>
        <v>300</v>
      </c>
    </row>
    <row r="231" spans="2:8" hidden="1" x14ac:dyDescent="0.25">
      <c r="B231" s="47" t="s">
        <v>216</v>
      </c>
      <c r="E231" s="52">
        <v>0</v>
      </c>
      <c r="F231" s="52">
        <v>0</v>
      </c>
      <c r="G231" s="52">
        <v>0</v>
      </c>
      <c r="H231" s="52">
        <v>0</v>
      </c>
    </row>
    <row r="232" spans="2:8" hidden="1" x14ac:dyDescent="0.25">
      <c r="B232" s="47" t="s">
        <v>217</v>
      </c>
      <c r="E232" s="52">
        <v>0</v>
      </c>
      <c r="F232" s="52">
        <v>0</v>
      </c>
      <c r="G232" s="52">
        <v>0</v>
      </c>
      <c r="H232" s="52">
        <v>0</v>
      </c>
    </row>
    <row r="233" spans="2:8" hidden="1" x14ac:dyDescent="0.25">
      <c r="E233" s="52"/>
      <c r="F233" s="52"/>
      <c r="G233" s="44"/>
      <c r="H233" s="44"/>
    </row>
    <row r="234" spans="2:8" hidden="1" x14ac:dyDescent="0.25">
      <c r="B234" s="5" t="s">
        <v>196</v>
      </c>
      <c r="E234" s="52">
        <f>E235+E236*E237</f>
        <v>0</v>
      </c>
      <c r="F234" s="52">
        <f>F235+F236*F237</f>
        <v>0</v>
      </c>
      <c r="G234" s="52">
        <f>G235+G236*G237</f>
        <v>0</v>
      </c>
      <c r="H234" s="52">
        <f>H235+H236*H237</f>
        <v>0</v>
      </c>
    </row>
    <row r="235" spans="2:8" hidden="1" x14ac:dyDescent="0.25">
      <c r="B235" s="47" t="s">
        <v>172</v>
      </c>
      <c r="E235" s="52"/>
      <c r="F235" s="52">
        <f>'Rates and GI'!D57*0</f>
        <v>0</v>
      </c>
      <c r="G235" s="44"/>
      <c r="H235" s="44"/>
    </row>
    <row r="236" spans="2:8" hidden="1" x14ac:dyDescent="0.25">
      <c r="B236" s="47" t="s">
        <v>178</v>
      </c>
      <c r="E236" s="52"/>
      <c r="F236" s="75">
        <f>'Rates and GI'!$D$58</f>
        <v>0.05</v>
      </c>
      <c r="G236" s="75">
        <f>'Rates and GI'!$D$58</f>
        <v>0.05</v>
      </c>
      <c r="H236" s="75">
        <f>'Rates and GI'!$D$58</f>
        <v>0.05</v>
      </c>
    </row>
    <row r="237" spans="2:8" hidden="1" x14ac:dyDescent="0.25">
      <c r="B237" s="47" t="s">
        <v>179</v>
      </c>
      <c r="E237" s="52"/>
      <c r="F237" s="52">
        <v>0</v>
      </c>
      <c r="G237" s="44">
        <v>0</v>
      </c>
      <c r="H237" s="44"/>
    </row>
    <row r="238" spans="2:8" hidden="1" x14ac:dyDescent="0.25">
      <c r="E238" s="52"/>
      <c r="F238" s="52"/>
      <c r="G238" s="44"/>
      <c r="H238" s="44"/>
    </row>
    <row r="239" spans="2:8" x14ac:dyDescent="0.25">
      <c r="E239" s="52"/>
      <c r="F239" s="52"/>
      <c r="G239" s="44"/>
      <c r="H239" s="44"/>
    </row>
    <row r="240" spans="2:8" x14ac:dyDescent="0.25">
      <c r="E240" s="52"/>
      <c r="F240" s="52"/>
      <c r="G240" s="44"/>
      <c r="H240" s="44"/>
    </row>
  </sheetData>
  <pageMargins left="0.7" right="0.7" top="0.75" bottom="0.75" header="0.3" footer="0.3"/>
  <pageSetup paperSize="9" scale="55" fitToHeight="0" orientation="portrait" horizontalDpi="1200" verticalDpi="1200" r:id="rId1"/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4"/>
  <sheetViews>
    <sheetView topLeftCell="A87" zoomScaleNormal="100" zoomScaleSheetLayoutView="55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14062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34.5" x14ac:dyDescent="0.3">
      <c r="A1" s="227">
        <v>5</v>
      </c>
      <c r="B1" s="228" t="s">
        <v>121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774.27104999999995</v>
      </c>
      <c r="E5" s="52">
        <f>E63</f>
        <v>0</v>
      </c>
      <c r="F5" s="52">
        <f t="shared" ref="F5:H5" si="1">F63</f>
        <v>774.27104999999995</v>
      </c>
      <c r="G5" s="52">
        <f t="shared" si="1"/>
        <v>0</v>
      </c>
      <c r="H5" s="52">
        <f t="shared" si="1"/>
        <v>0</v>
      </c>
    </row>
    <row r="6" spans="1:12" x14ac:dyDescent="0.25">
      <c r="B6" s="17" t="s">
        <v>191</v>
      </c>
      <c r="D6" s="52">
        <f t="shared" si="0"/>
        <v>18008.933554707481</v>
      </c>
      <c r="E6" s="52">
        <f>E67</f>
        <v>0</v>
      </c>
      <c r="F6" s="52">
        <f t="shared" ref="F6:H6" si="2">F67</f>
        <v>10742.238738</v>
      </c>
      <c r="G6" s="52">
        <f t="shared" si="2"/>
        <v>3556.8746043599999</v>
      </c>
      <c r="H6" s="52">
        <f t="shared" si="2"/>
        <v>3709.8202123474794</v>
      </c>
    </row>
    <row r="7" spans="1:12" ht="14.25" thickBot="1" x14ac:dyDescent="0.3">
      <c r="A7" s="13"/>
      <c r="B7" s="13" t="s">
        <v>5</v>
      </c>
      <c r="C7" s="13"/>
      <c r="D7" s="55">
        <f>SUBTOTAL(9,D5:D6)</f>
        <v>18783.20460470748</v>
      </c>
      <c r="E7" s="55">
        <f>SUBTOTAL(9,E5:E6)</f>
        <v>0</v>
      </c>
      <c r="F7" s="55">
        <f>SUBTOTAL(9,F5:F6)</f>
        <v>11516.509787999999</v>
      </c>
      <c r="G7" s="55">
        <f>SUBTOTAL(9,G5:G6)</f>
        <v>3556.8746043599999</v>
      </c>
      <c r="H7" s="55">
        <f>SUBTOTAL(9,H5:H6)</f>
        <v>3709.8202123474794</v>
      </c>
    </row>
    <row r="8" spans="1:12" ht="7.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12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5469.9667100000006</v>
      </c>
      <c r="E10" s="52">
        <f>E87</f>
        <v>0</v>
      </c>
      <c r="F10" s="52">
        <f t="shared" ref="F10:H10" si="4">F87</f>
        <v>0</v>
      </c>
      <c r="G10" s="52">
        <f t="shared" si="4"/>
        <v>3646.6444733333337</v>
      </c>
      <c r="H10" s="52">
        <f t="shared" si="4"/>
        <v>1823.3222366666669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5469.9667100000006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3646.6444733333337</v>
      </c>
      <c r="H12" s="55">
        <f t="shared" si="5"/>
        <v>1823.3222366666669</v>
      </c>
    </row>
    <row r="13" spans="1:12" ht="6.75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12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2326.618154161104</v>
      </c>
      <c r="E15" s="52">
        <f>E95</f>
        <v>0</v>
      </c>
      <c r="F15" s="52">
        <f t="shared" ref="F15:H15" si="7">F95</f>
        <v>743.12691355000004</v>
      </c>
      <c r="G15" s="52">
        <f t="shared" si="7"/>
        <v>775.08137083265001</v>
      </c>
      <c r="H15" s="52">
        <f t="shared" si="7"/>
        <v>808.40986977845387</v>
      </c>
    </row>
    <row r="16" spans="1:12" x14ac:dyDescent="0.25">
      <c r="B16" s="17" t="s">
        <v>73</v>
      </c>
    </row>
    <row r="17" spans="1:12" ht="14.25" thickBot="1" x14ac:dyDescent="0.3">
      <c r="A17" s="13"/>
      <c r="B17" s="13" t="s">
        <v>76</v>
      </c>
      <c r="C17" s="13"/>
      <c r="D17" s="55">
        <f>SUBTOTAL(9,D15:D16)</f>
        <v>2326.618154161104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808.40986977845387</v>
      </c>
    </row>
    <row r="18" spans="1:12" ht="6" customHeight="1" x14ac:dyDescent="0.25"/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5025.1590281249992</v>
      </c>
      <c r="E20" s="52">
        <f>E99</f>
        <v>0</v>
      </c>
      <c r="F20" s="52">
        <f t="shared" ref="F20:H20" si="10">F99</f>
        <v>0</v>
      </c>
      <c r="G20" s="52">
        <f t="shared" si="10"/>
        <v>2546.5983749999996</v>
      </c>
      <c r="H20" s="52">
        <f t="shared" si="10"/>
        <v>2478.5606531249996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5025.1590281249992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2546.5983749999996</v>
      </c>
      <c r="H22" s="55">
        <f t="shared" si="12"/>
        <v>2478.5606531249996</v>
      </c>
    </row>
    <row r="23" spans="1:12" ht="7.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648.96226604999993</v>
      </c>
      <c r="E25" s="52">
        <f>E105</f>
        <v>0</v>
      </c>
      <c r="F25" s="52">
        <f t="shared" ref="F25:H25" si="13">F105</f>
        <v>250.31999999999996</v>
      </c>
      <c r="G25" s="52">
        <f t="shared" si="13"/>
        <v>228.44828999999996</v>
      </c>
      <c r="H25" s="52">
        <f t="shared" si="13"/>
        <v>170.19397604999997</v>
      </c>
    </row>
    <row r="26" spans="1:12" x14ac:dyDescent="0.25">
      <c r="B26" s="17" t="s">
        <v>25</v>
      </c>
      <c r="D26" s="52">
        <f t="shared" ref="D26" si="14">SUM(E26:H26)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648.96226604999993</v>
      </c>
      <c r="E28" s="55">
        <f t="shared" ref="E28:H28" si="15">SUBTOTAL(9,E25:E27)</f>
        <v>0</v>
      </c>
      <c r="F28" s="55">
        <f t="shared" si="15"/>
        <v>250.31999999999996</v>
      </c>
      <c r="G28" s="55">
        <f t="shared" si="15"/>
        <v>228.44828999999996</v>
      </c>
      <c r="H28" s="55">
        <f t="shared" si="15"/>
        <v>170.19397604999997</v>
      </c>
    </row>
    <row r="29" spans="1:12" ht="6.7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7.5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6.7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:D47" si="20">SUM(E46:H46)</f>
        <v>0</v>
      </c>
      <c r="E46" s="52">
        <f>E139</f>
        <v>0</v>
      </c>
      <c r="F46" s="52">
        <f t="shared" ref="F46:H46" si="21">F139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96"/>
      <c r="D47" s="52">
        <f t="shared" si="20"/>
        <v>0</v>
      </c>
      <c r="E47" s="52">
        <f>E129</f>
        <v>0</v>
      </c>
      <c r="F47" s="52">
        <f t="shared" ref="F47:H47" si="22">F129</f>
        <v>0</v>
      </c>
      <c r="G47" s="52">
        <f t="shared" si="22"/>
        <v>0</v>
      </c>
      <c r="H47" s="52">
        <f t="shared" si="22"/>
        <v>0</v>
      </c>
    </row>
    <row r="48" spans="1:12" ht="14.25" thickBot="1" x14ac:dyDescent="0.3">
      <c r="A48" s="13"/>
      <c r="B48" s="13" t="s">
        <v>71</v>
      </c>
      <c r="C48" s="95"/>
      <c r="D48" s="55">
        <f>SUBTOTAL(9,D46:D47)</f>
        <v>0</v>
      </c>
      <c r="E48" s="55">
        <f>SUBTOTAL(9,E46:E47)</f>
        <v>0</v>
      </c>
      <c r="F48" s="55">
        <f>SUBTOTAL(9,F46:F47)</f>
        <v>0</v>
      </c>
      <c r="G48" s="55">
        <f>SUBTOTAL(9,G46:G47)</f>
        <v>0</v>
      </c>
      <c r="H48" s="55">
        <f>SUBTOTAL(9,H46:H47)</f>
        <v>0</v>
      </c>
    </row>
    <row r="49" spans="1:8" ht="8.25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32253.910763043583</v>
      </c>
      <c r="E50" s="57">
        <f>SUBTOTAL(9,E5:E48)</f>
        <v>0</v>
      </c>
      <c r="F50" s="57">
        <f>SUBTOTAL(9,F5:F48)</f>
        <v>12509.95670155</v>
      </c>
      <c r="G50" s="57">
        <f>SUBTOTAL(9,G5:G48)</f>
        <v>10753.647113525984</v>
      </c>
      <c r="H50" s="57">
        <f>SUBTOTAL(9,H5:H48)</f>
        <v>8990.3069479675996</v>
      </c>
    </row>
    <row r="51" spans="1:8" ht="14.25" thickBot="1" x14ac:dyDescent="0.3">
      <c r="A51" s="1"/>
      <c r="B51" s="1"/>
      <c r="C51" s="1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/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0</v>
      </c>
      <c r="F63" s="52">
        <f t="shared" ref="F63:H63" si="23">F64*F65</f>
        <v>774.27104999999995</v>
      </c>
      <c r="G63" s="52">
        <f t="shared" si="23"/>
        <v>0</v>
      </c>
      <c r="H63" s="52">
        <f t="shared" si="23"/>
        <v>0</v>
      </c>
    </row>
    <row r="64" spans="1:8" x14ac:dyDescent="0.25">
      <c r="A64" s="9"/>
      <c r="B64" s="9" t="s">
        <v>129</v>
      </c>
      <c r="C64" s="9" t="s">
        <v>128</v>
      </c>
      <c r="E64" s="52">
        <v>0</v>
      </c>
      <c r="F64" s="52">
        <v>42</v>
      </c>
      <c r="G64" s="44">
        <v>0</v>
      </c>
      <c r="H64" s="44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0</v>
      </c>
      <c r="F67" s="52">
        <f t="shared" ref="F67:H67" si="24">F68*F69</f>
        <v>10742.238738</v>
      </c>
      <c r="G67" s="52">
        <f t="shared" si="24"/>
        <v>3556.8746043599999</v>
      </c>
      <c r="H67" s="52">
        <f t="shared" si="24"/>
        <v>3709.8202123474794</v>
      </c>
      <c r="I67" s="6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0</v>
      </c>
      <c r="F68" s="52">
        <v>63</v>
      </c>
      <c r="G68" s="44">
        <v>20</v>
      </c>
      <c r="H68" s="44">
        <v>20</v>
      </c>
      <c r="I68" s="6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>
        <v>4</v>
      </c>
      <c r="F85" s="52"/>
      <c r="G85" s="44"/>
      <c r="H85" s="44"/>
      <c r="I85" s="6"/>
      <c r="J85" s="6"/>
      <c r="K85" s="6"/>
      <c r="L85" s="6"/>
    </row>
    <row r="86" spans="1:12" hidden="1" x14ac:dyDescent="0.25"/>
    <row r="87" spans="1:12" x14ac:dyDescent="0.25">
      <c r="A87" s="58"/>
      <c r="B87" s="58" t="s">
        <v>10</v>
      </c>
      <c r="C87" s="58"/>
      <c r="D87" s="60"/>
      <c r="E87" s="60"/>
      <c r="F87" s="60">
        <f>F88*F89</f>
        <v>0</v>
      </c>
      <c r="G87" s="60">
        <f t="shared" ref="G87:H87" si="25">G88*G89</f>
        <v>3646.6444733333337</v>
      </c>
      <c r="H87" s="60">
        <f t="shared" si="25"/>
        <v>1823.3222366666669</v>
      </c>
    </row>
    <row r="88" spans="1:12" s="7" customFormat="1" x14ac:dyDescent="0.25">
      <c r="A88" s="5"/>
      <c r="B88" s="9" t="s">
        <v>50</v>
      </c>
      <c r="C88" s="5"/>
      <c r="D88" s="52"/>
      <c r="E88" s="52"/>
      <c r="F88" s="52">
        <f>F101</f>
        <v>0</v>
      </c>
      <c r="G88" s="52">
        <f t="shared" ref="G88:H88" si="26">G101</f>
        <v>4</v>
      </c>
      <c r="H88" s="52">
        <f t="shared" si="26"/>
        <v>2</v>
      </c>
      <c r="I88" s="6"/>
      <c r="J88" s="6"/>
      <c r="K88" s="6"/>
      <c r="L88" s="6"/>
    </row>
    <row r="89" spans="1:12" s="7" customFormat="1" x14ac:dyDescent="0.25">
      <c r="A89" s="5"/>
      <c r="B89" s="9" t="s">
        <v>51</v>
      </c>
      <c r="C89" s="5"/>
      <c r="D89" s="52"/>
      <c r="E89" s="52"/>
      <c r="F89" s="52">
        <f>Trips!$B$10</f>
        <v>911.66111833333343</v>
      </c>
      <c r="G89" s="52">
        <f>Trips!$B$10</f>
        <v>911.66111833333343</v>
      </c>
      <c r="H89" s="44">
        <f>Trips!B10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/>
      <c r="F91" s="52"/>
      <c r="G91" s="44"/>
      <c r="H91" s="44"/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/>
      <c r="F92" s="52"/>
      <c r="G92" s="44"/>
      <c r="H92" s="44"/>
      <c r="I92" s="6"/>
      <c r="J92" s="6"/>
      <c r="K92" s="6"/>
      <c r="L92" s="6"/>
    </row>
    <row r="93" spans="1:12" hidden="1" x14ac:dyDescent="0.25"/>
    <row r="94" spans="1:12" hidden="1" x14ac:dyDescent="0.25"/>
    <row r="95" spans="1:12" x14ac:dyDescent="0.25">
      <c r="A95" s="58"/>
      <c r="B95" s="58" t="s">
        <v>194</v>
      </c>
      <c r="C95" s="58"/>
      <c r="D95" s="60"/>
      <c r="E95" s="60">
        <f>E96*E97</f>
        <v>0</v>
      </c>
      <c r="F95" s="60">
        <f t="shared" ref="F95:H95" si="27">F96*F97</f>
        <v>743.12691355000004</v>
      </c>
      <c r="G95" s="60">
        <f t="shared" si="27"/>
        <v>775.08137083265001</v>
      </c>
      <c r="H95" s="60">
        <f t="shared" si="27"/>
        <v>808.40986977845387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>
        <v>0</v>
      </c>
      <c r="F96" s="52">
        <v>1</v>
      </c>
      <c r="G96" s="52">
        <v>1</v>
      </c>
      <c r="H96" s="52">
        <v>1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9" spans="1:12" x14ac:dyDescent="0.25">
      <c r="A99" s="58"/>
      <c r="B99" s="58" t="s">
        <v>148</v>
      </c>
      <c r="C99" s="58"/>
      <c r="D99" s="60"/>
      <c r="E99" s="60">
        <f>E100*E101+E102*E103</f>
        <v>0</v>
      </c>
      <c r="F99" s="60">
        <f t="shared" ref="F99:H99" si="28">F100*F101+F102*F103</f>
        <v>0</v>
      </c>
      <c r="G99" s="60">
        <f t="shared" si="28"/>
        <v>2546.5983749999996</v>
      </c>
      <c r="H99" s="60">
        <f t="shared" si="28"/>
        <v>2478.5606531249996</v>
      </c>
    </row>
    <row r="100" spans="1:12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x14ac:dyDescent="0.25">
      <c r="B101" s="45" t="s">
        <v>151</v>
      </c>
      <c r="F101" s="52">
        <v>0</v>
      </c>
      <c r="G101" s="52">
        <v>4</v>
      </c>
      <c r="H101" s="52">
        <v>2</v>
      </c>
    </row>
    <row r="102" spans="1:12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x14ac:dyDescent="0.25">
      <c r="B103" s="45" t="s">
        <v>153</v>
      </c>
      <c r="F103" s="52">
        <v>0</v>
      </c>
      <c r="G103" s="44">
        <v>3</v>
      </c>
      <c r="H103" s="44">
        <v>3</v>
      </c>
    </row>
    <row r="104" spans="1:12" x14ac:dyDescent="0.25">
      <c r="B104" s="45"/>
    </row>
    <row r="105" spans="1:12" x14ac:dyDescent="0.25">
      <c r="A105" s="58"/>
      <c r="B105" s="58" t="s">
        <v>24</v>
      </c>
      <c r="C105" s="58"/>
      <c r="D105" s="60"/>
      <c r="E105" s="60">
        <f>E106*E107</f>
        <v>0</v>
      </c>
      <c r="F105" s="60">
        <f t="shared" ref="F105:H105" si="29">F106*F107</f>
        <v>250.31999999999996</v>
      </c>
      <c r="G105" s="60">
        <f t="shared" si="29"/>
        <v>228.44828999999996</v>
      </c>
      <c r="H105" s="60">
        <f t="shared" si="29"/>
        <v>170.19397604999997</v>
      </c>
    </row>
    <row r="106" spans="1:12" s="7" customFormat="1" x14ac:dyDescent="0.25">
      <c r="A106" s="5"/>
      <c r="B106" s="45" t="s">
        <v>54</v>
      </c>
      <c r="C106" s="5"/>
      <c r="D106" s="52"/>
      <c r="E106" s="52">
        <v>0</v>
      </c>
      <c r="F106" s="52">
        <v>40</v>
      </c>
      <c r="G106" s="52">
        <v>35</v>
      </c>
      <c r="H106" s="52">
        <v>25</v>
      </c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52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9" spans="1:12" hidden="1" x14ac:dyDescent="0.25">
      <c r="A109" s="58"/>
      <c r="B109" s="58" t="s">
        <v>7</v>
      </c>
      <c r="C109" s="58"/>
      <c r="D109" s="60"/>
      <c r="E109" s="60"/>
      <c r="F109" s="60"/>
      <c r="G109" s="60"/>
      <c r="H109" s="60"/>
    </row>
    <row r="110" spans="1:12" s="7" customFormat="1" hidden="1" x14ac:dyDescent="0.25">
      <c r="A110" s="5"/>
      <c r="B110" s="4" t="s">
        <v>58</v>
      </c>
      <c r="C110" s="5"/>
      <c r="D110" s="52"/>
      <c r="E110" s="52"/>
      <c r="F110" s="52"/>
      <c r="G110" s="44"/>
      <c r="H110" s="44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91"/>
      <c r="E111" s="91"/>
      <c r="F111" s="91"/>
      <c r="G111" s="92"/>
      <c r="H111" s="92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91"/>
      <c r="E112" s="91"/>
      <c r="F112" s="91"/>
      <c r="G112" s="92"/>
      <c r="H112" s="92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hidden="1" x14ac:dyDescent="0.25"/>
    <row r="115" spans="1:12" hidden="1" x14ac:dyDescent="0.25">
      <c r="A115" s="58"/>
      <c r="B115" s="58" t="s">
        <v>26</v>
      </c>
      <c r="C115" s="58"/>
      <c r="D115" s="60"/>
      <c r="E115" s="60"/>
      <c r="F115" s="60"/>
      <c r="G115" s="60"/>
      <c r="H115" s="60"/>
    </row>
    <row r="116" spans="1:12" s="5" customFormat="1" hidden="1" x14ac:dyDescent="0.25">
      <c r="B116" s="47" t="s">
        <v>61</v>
      </c>
      <c r="D116" s="52"/>
      <c r="E116" s="52"/>
      <c r="F116" s="52"/>
      <c r="G116" s="44"/>
      <c r="H116" s="44"/>
      <c r="I116" s="6"/>
      <c r="J116" s="6"/>
      <c r="K116" s="6"/>
      <c r="L116" s="6"/>
    </row>
    <row r="117" spans="1:12" s="5" customFormat="1" hidden="1" x14ac:dyDescent="0.25">
      <c r="B117" s="47" t="s">
        <v>62</v>
      </c>
      <c r="D117" s="52"/>
      <c r="E117" s="52"/>
      <c r="F117" s="52"/>
      <c r="G117" s="44"/>
      <c r="H117" s="44"/>
      <c r="I117" s="6"/>
      <c r="J117" s="6"/>
      <c r="K117" s="6"/>
      <c r="L117" s="6"/>
    </row>
    <row r="118" spans="1:12" s="5" customFormat="1" hidden="1" x14ac:dyDescent="0.25">
      <c r="B118" s="47" t="s">
        <v>8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hidden="1" x14ac:dyDescent="0.25"/>
    <row r="120" spans="1:12" hidden="1" x14ac:dyDescent="0.25">
      <c r="A120" s="58"/>
      <c r="B120" s="58" t="s">
        <v>25</v>
      </c>
      <c r="C120" s="58"/>
      <c r="D120" s="60"/>
      <c r="E120" s="60"/>
      <c r="F120" s="60"/>
      <c r="G120" s="60"/>
      <c r="H120" s="60"/>
    </row>
    <row r="121" spans="1:12" s="5" customFormat="1" hidden="1" x14ac:dyDescent="0.25">
      <c r="B121" s="47" t="s">
        <v>64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47" t="s">
        <v>63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65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x14ac:dyDescent="0.25">
      <c r="A124" s="58"/>
      <c r="B124" s="58"/>
      <c r="C124" s="58"/>
      <c r="D124" s="60"/>
      <c r="E124" s="60"/>
      <c r="F124" s="60"/>
      <c r="G124" s="60"/>
      <c r="H124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0"/>
  <sheetViews>
    <sheetView topLeftCell="A13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7" customWidth="1"/>
    <col min="5" max="5" width="11.85546875" style="7" bestFit="1" customWidth="1"/>
    <col min="6" max="6" width="10.140625" style="7" bestFit="1" customWidth="1"/>
    <col min="7" max="7" width="10" style="8" bestFit="1" customWidth="1"/>
    <col min="8" max="8" width="10.28515625" style="8" bestFit="1" customWidth="1"/>
    <col min="9" max="16384" width="9.140625" style="6"/>
  </cols>
  <sheetData>
    <row r="1" spans="1:12" s="140" customFormat="1" ht="34.5" x14ac:dyDescent="0.3">
      <c r="A1" s="227">
        <v>7</v>
      </c>
      <c r="B1" s="228" t="s">
        <v>164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3989.3146701964497</v>
      </c>
      <c r="E5" s="52">
        <f>E63</f>
        <v>0</v>
      </c>
      <c r="F5" s="52">
        <f t="shared" ref="F5:H5" si="1">F63</f>
        <v>1935.677625</v>
      </c>
      <c r="G5" s="52">
        <f t="shared" si="1"/>
        <v>1211.3470577249998</v>
      </c>
      <c r="H5" s="52">
        <f t="shared" si="1"/>
        <v>842.28998747144988</v>
      </c>
    </row>
    <row r="6" spans="1:12" x14ac:dyDescent="0.25">
      <c r="B6" s="17" t="s">
        <v>191</v>
      </c>
      <c r="D6" s="52">
        <f t="shared" si="0"/>
        <v>13974.031031623739</v>
      </c>
      <c r="E6" s="52">
        <f>E67</f>
        <v>0</v>
      </c>
      <c r="F6" s="52">
        <f t="shared" ref="F6:H6" si="2">F67</f>
        <v>7673.0276700000004</v>
      </c>
      <c r="G6" s="52">
        <f t="shared" si="2"/>
        <v>4446.0932554499996</v>
      </c>
      <c r="H6" s="52">
        <f t="shared" si="2"/>
        <v>1854.9101061737397</v>
      </c>
    </row>
    <row r="7" spans="1:12" ht="14.25" thickBot="1" x14ac:dyDescent="0.3">
      <c r="A7" s="13"/>
      <c r="B7" s="13" t="s">
        <v>5</v>
      </c>
      <c r="C7" s="13"/>
      <c r="D7" s="55">
        <f>SUBTOTAL(9,D5:D6)</f>
        <v>17963.345701820188</v>
      </c>
      <c r="E7" s="55">
        <f>SUBTOTAL(9,E5:E6)</f>
        <v>0</v>
      </c>
      <c r="F7" s="55">
        <f>SUBTOTAL(9,F5:F6)</f>
        <v>9608.7052949999998</v>
      </c>
      <c r="G7" s="55">
        <f>SUBTOTAL(9,G5:G6)</f>
        <v>5657.4403131749996</v>
      </c>
      <c r="H7" s="55">
        <f>SUBTOTAL(9,H5:H6)</f>
        <v>2697.2000936451896</v>
      </c>
    </row>
    <row r="8" spans="1:12" ht="6.75" customHeight="1" x14ac:dyDescent="0.25">
      <c r="D8" s="36"/>
      <c r="E8" s="36"/>
      <c r="F8" s="36"/>
      <c r="G8" s="29"/>
      <c r="H8" s="29"/>
    </row>
    <row r="9" spans="1:12" x14ac:dyDescent="0.25">
      <c r="A9" s="16"/>
      <c r="B9" s="16" t="s">
        <v>11</v>
      </c>
      <c r="C9" s="16"/>
      <c r="D9" s="34"/>
      <c r="E9" s="34"/>
      <c r="F9" s="34"/>
      <c r="G9" s="35"/>
      <c r="H9" s="35"/>
      <c r="I9" s="12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1300</v>
      </c>
      <c r="E10" s="52">
        <f>E87</f>
        <v>0</v>
      </c>
      <c r="F10" s="52">
        <f t="shared" ref="F10:H10" si="4">F87</f>
        <v>780</v>
      </c>
      <c r="G10" s="52">
        <f t="shared" si="4"/>
        <v>312</v>
      </c>
      <c r="H10" s="52">
        <f t="shared" si="4"/>
        <v>208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1300</v>
      </c>
      <c r="E12" s="55">
        <f t="shared" ref="E12:H12" si="5">SUBTOTAL(9,E10:E11)</f>
        <v>0</v>
      </c>
      <c r="F12" s="55">
        <f t="shared" si="5"/>
        <v>780</v>
      </c>
      <c r="G12" s="55">
        <f t="shared" si="5"/>
        <v>312</v>
      </c>
      <c r="H12" s="55">
        <f t="shared" si="5"/>
        <v>208</v>
      </c>
    </row>
    <row r="13" spans="1:12" ht="6.75" customHeight="1" x14ac:dyDescent="0.25">
      <c r="D13" s="36"/>
      <c r="E13" s="36"/>
      <c r="F13" s="36"/>
      <c r="G13" s="29"/>
      <c r="H13" s="29"/>
    </row>
    <row r="14" spans="1:12" x14ac:dyDescent="0.25">
      <c r="A14" s="16"/>
      <c r="B14" s="16" t="s">
        <v>12</v>
      </c>
      <c r="C14" s="16"/>
      <c r="D14" s="34"/>
      <c r="E14" s="34"/>
      <c r="F14" s="34"/>
      <c r="G14" s="35"/>
      <c r="H14" s="35"/>
      <c r="I14" s="12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1518.2082843826502</v>
      </c>
      <c r="E15" s="52">
        <f>E95</f>
        <v>0</v>
      </c>
      <c r="F15" s="52">
        <f t="shared" ref="F15:H15" si="7">F95</f>
        <v>743.12691355000004</v>
      </c>
      <c r="G15" s="52">
        <f t="shared" si="7"/>
        <v>775.08137083265001</v>
      </c>
      <c r="H15" s="52">
        <f t="shared" si="7"/>
        <v>0</v>
      </c>
    </row>
    <row r="16" spans="1:12" x14ac:dyDescent="0.25">
      <c r="B16" s="17" t="s">
        <v>73</v>
      </c>
      <c r="D16" s="52"/>
      <c r="E16" s="52"/>
      <c r="F16" s="52"/>
      <c r="G16" s="44"/>
      <c r="H16" s="44"/>
    </row>
    <row r="17" spans="1:12" ht="14.25" thickBot="1" x14ac:dyDescent="0.3">
      <c r="A17" s="13"/>
      <c r="B17" s="13" t="s">
        <v>76</v>
      </c>
      <c r="C17" s="13"/>
      <c r="D17" s="55">
        <f>SUBTOTAL(9,D15:D16)</f>
        <v>1518.2082843826502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0</v>
      </c>
    </row>
    <row r="18" spans="1:12" ht="6.75" customHeight="1" x14ac:dyDescent="0.25">
      <c r="D18" s="36"/>
      <c r="E18" s="36"/>
      <c r="F18" s="36"/>
      <c r="G18" s="29"/>
      <c r="H18" s="29"/>
    </row>
    <row r="19" spans="1:12" x14ac:dyDescent="0.25">
      <c r="A19" s="16"/>
      <c r="B19" s="16" t="s">
        <v>156</v>
      </c>
      <c r="C19" s="16"/>
      <c r="D19" s="34"/>
      <c r="E19" s="34"/>
      <c r="F19" s="34"/>
      <c r="G19" s="35"/>
      <c r="H19" s="35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6" customHeight="1" x14ac:dyDescent="0.25">
      <c r="D23" s="36"/>
      <c r="E23" s="36"/>
      <c r="F23" s="36"/>
      <c r="G23" s="29"/>
      <c r="H23" s="29"/>
    </row>
    <row r="24" spans="1:12" x14ac:dyDescent="0.25">
      <c r="A24" s="16"/>
      <c r="B24" s="16" t="s">
        <v>74</v>
      </c>
      <c r="C24" s="16"/>
      <c r="D24" s="34"/>
      <c r="E24" s="34"/>
      <c r="F24" s="34"/>
      <c r="G24" s="35"/>
      <c r="H24" s="35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386.35947041999998</v>
      </c>
      <c r="E25" s="52">
        <f>E105</f>
        <v>0</v>
      </c>
      <c r="F25" s="52">
        <f t="shared" ref="F25:H25" si="13">F105</f>
        <v>187.73999999999998</v>
      </c>
      <c r="G25" s="52">
        <f t="shared" si="13"/>
        <v>130.54187999999999</v>
      </c>
      <c r="H25" s="52">
        <f t="shared" si="13"/>
        <v>68.077590419999993</v>
      </c>
    </row>
    <row r="26" spans="1:12" x14ac:dyDescent="0.25">
      <c r="B26" s="17" t="s">
        <v>25</v>
      </c>
      <c r="D26" s="52">
        <f t="shared" ref="D26" si="14">SUM(E26:H26)</f>
        <v>0</v>
      </c>
      <c r="E26" s="52"/>
      <c r="F26" s="52"/>
      <c r="G26" s="44"/>
      <c r="H26" s="44"/>
    </row>
    <row r="27" spans="1:12" x14ac:dyDescent="0.25">
      <c r="B27" s="17" t="s">
        <v>432</v>
      </c>
      <c r="D27" s="52"/>
      <c r="E27" s="52"/>
      <c r="F27" s="52"/>
      <c r="G27" s="44"/>
      <c r="H27" s="44"/>
    </row>
    <row r="28" spans="1:12" ht="14.25" thickBot="1" x14ac:dyDescent="0.3">
      <c r="A28" s="13"/>
      <c r="B28" s="13" t="s">
        <v>75</v>
      </c>
      <c r="C28" s="13"/>
      <c r="D28" s="55">
        <f>SUBTOTAL(9,D25:D27)</f>
        <v>386.35947041999998</v>
      </c>
      <c r="E28" s="55">
        <f t="shared" ref="E28:H28" si="15">SUBTOTAL(9,E25:E27)</f>
        <v>0</v>
      </c>
      <c r="F28" s="55">
        <f t="shared" si="15"/>
        <v>187.73999999999998</v>
      </c>
      <c r="G28" s="55">
        <f t="shared" si="15"/>
        <v>130.54187999999999</v>
      </c>
      <c r="H28" s="55">
        <f t="shared" si="15"/>
        <v>68.077590419999993</v>
      </c>
    </row>
    <row r="29" spans="1:12" x14ac:dyDescent="0.25">
      <c r="D29" s="36"/>
      <c r="E29" s="36"/>
      <c r="F29" s="36"/>
      <c r="G29" s="29"/>
      <c r="H29" s="29"/>
    </row>
    <row r="30" spans="1:12" x14ac:dyDescent="0.25">
      <c r="A30" s="16"/>
      <c r="B30" s="16" t="s">
        <v>7</v>
      </c>
      <c r="C30" s="16"/>
      <c r="D30" s="34"/>
      <c r="E30" s="34"/>
      <c r="F30" s="34"/>
      <c r="G30" s="35"/>
      <c r="H30" s="35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2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2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3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3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x14ac:dyDescent="0.25">
      <c r="A44" s="3"/>
      <c r="B44" s="6"/>
      <c r="C44" s="3"/>
      <c r="D44" s="52"/>
      <c r="E44" s="52"/>
      <c r="F44" s="52"/>
      <c r="G44" s="44"/>
      <c r="H44" s="44"/>
    </row>
    <row r="45" spans="1:12" x14ac:dyDescent="0.25">
      <c r="A45" s="16"/>
      <c r="B45" s="16" t="s">
        <v>20</v>
      </c>
      <c r="C45" s="16"/>
      <c r="D45" s="34"/>
      <c r="E45" s="34"/>
      <c r="F45" s="34"/>
      <c r="G45" s="35"/>
      <c r="H45" s="35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:D47" si="20">SUM(E46:H46)</f>
        <v>0</v>
      </c>
      <c r="E46" s="52">
        <f>E133</f>
        <v>0</v>
      </c>
      <c r="F46" s="52">
        <f t="shared" ref="F46:H46" si="21">F133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96"/>
      <c r="D47" s="52">
        <f t="shared" si="20"/>
        <v>0</v>
      </c>
      <c r="E47" s="52">
        <f>E123</f>
        <v>0</v>
      </c>
      <c r="F47" s="52">
        <f t="shared" ref="F47:H47" si="22">F123</f>
        <v>0</v>
      </c>
      <c r="G47" s="52">
        <f t="shared" si="22"/>
        <v>0</v>
      </c>
      <c r="H47" s="52">
        <f t="shared" si="22"/>
        <v>0</v>
      </c>
    </row>
    <row r="48" spans="1:12" ht="14.25" thickBot="1" x14ac:dyDescent="0.3">
      <c r="A48" s="13"/>
      <c r="B48" s="13" t="s">
        <v>71</v>
      </c>
      <c r="C48" s="95"/>
      <c r="D48" s="55">
        <f>SUBTOTAL(9,D46:D47)</f>
        <v>0</v>
      </c>
      <c r="E48" s="55">
        <f>SUBTOTAL(9,E46:E47)</f>
        <v>0</v>
      </c>
      <c r="F48" s="55">
        <f>SUBTOTAL(9,F46:F47)</f>
        <v>0</v>
      </c>
      <c r="G48" s="55">
        <f>SUBTOTAL(9,G46:G47)</f>
        <v>0</v>
      </c>
      <c r="H48" s="55">
        <f>SUBTOTAL(9,H46:H47)</f>
        <v>0</v>
      </c>
    </row>
    <row r="49" spans="1:8" ht="8.25" customHeight="1" x14ac:dyDescent="0.25">
      <c r="A49" s="1"/>
      <c r="B49" s="1"/>
      <c r="C49" s="1"/>
      <c r="D49" s="52"/>
      <c r="E49" s="52"/>
      <c r="F49" s="52"/>
      <c r="G49" s="44"/>
      <c r="H49" s="44"/>
    </row>
    <row r="50" spans="1:8" ht="14.25" thickBot="1" x14ac:dyDescent="0.3">
      <c r="A50" s="56"/>
      <c r="B50" s="56" t="s">
        <v>160</v>
      </c>
      <c r="C50" s="56"/>
      <c r="D50" s="57">
        <f>SUBTOTAL(9,D5:D48)</f>
        <v>21167.913456622839</v>
      </c>
      <c r="E50" s="57">
        <f>SUBTOTAL(9,E5:E48)</f>
        <v>0</v>
      </c>
      <c r="F50" s="57">
        <f>SUBTOTAL(9,F5:F48)</f>
        <v>11319.57220855</v>
      </c>
      <c r="G50" s="57">
        <f>SUBTOTAL(9,G5:G48)</f>
        <v>6875.0635640076498</v>
      </c>
      <c r="H50" s="57">
        <f>SUBTOTAL(9,H5:H48)</f>
        <v>2973.2776840651895</v>
      </c>
    </row>
    <row r="51" spans="1:8" ht="14.25" thickBot="1" x14ac:dyDescent="0.3">
      <c r="A51" s="1"/>
      <c r="B51" s="1"/>
      <c r="C51" s="1"/>
      <c r="D51" s="36"/>
      <c r="E51" s="36"/>
      <c r="F51" s="36"/>
      <c r="G51" s="29"/>
      <c r="H51" s="29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  <c r="D53" s="36"/>
      <c r="E53" s="36"/>
      <c r="F53" s="36"/>
      <c r="G53" s="29"/>
      <c r="H53" s="29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>
      <c r="D55" s="36"/>
      <c r="E55" s="36"/>
      <c r="F55" s="36"/>
      <c r="G55" s="29"/>
      <c r="H55" s="29"/>
    </row>
    <row r="56" spans="1:8" hidden="1" x14ac:dyDescent="0.25">
      <c r="A56" s="58"/>
      <c r="B56" s="58" t="s">
        <v>0</v>
      </c>
      <c r="C56" s="58"/>
      <c r="D56" s="59"/>
      <c r="E56" s="59"/>
      <c r="F56" s="59"/>
      <c r="G56" s="59"/>
      <c r="H56" s="59"/>
    </row>
    <row r="57" spans="1:8" hidden="1" x14ac:dyDescent="0.25">
      <c r="B57" s="5" t="s">
        <v>2</v>
      </c>
      <c r="D57" s="36"/>
      <c r="E57" s="52">
        <f>E58*E59*E60*E61</f>
        <v>0</v>
      </c>
      <c r="F57" s="37"/>
      <c r="G57" s="38"/>
      <c r="H57" s="38"/>
    </row>
    <row r="58" spans="1:8" hidden="1" x14ac:dyDescent="0.25">
      <c r="A58" s="9"/>
      <c r="B58" s="9" t="s">
        <v>37</v>
      </c>
      <c r="C58" s="9"/>
      <c r="D58" s="36"/>
      <c r="E58" s="52">
        <v>0</v>
      </c>
      <c r="F58" s="36"/>
      <c r="G58" s="29"/>
      <c r="H58" s="29"/>
    </row>
    <row r="59" spans="1:8" hidden="1" x14ac:dyDescent="0.25">
      <c r="A59" s="9"/>
      <c r="B59" s="9" t="s">
        <v>38</v>
      </c>
      <c r="C59" s="9"/>
      <c r="D59" s="37"/>
      <c r="E59" s="53">
        <v>0</v>
      </c>
      <c r="F59" s="36"/>
      <c r="G59" s="29"/>
      <c r="H59" s="29"/>
    </row>
    <row r="60" spans="1:8" hidden="1" x14ac:dyDescent="0.25">
      <c r="A60" s="9"/>
      <c r="B60" s="9" t="s">
        <v>39</v>
      </c>
      <c r="C60" s="9"/>
      <c r="D60" s="36"/>
      <c r="E60" s="52">
        <v>0</v>
      </c>
      <c r="F60" s="36"/>
      <c r="G60" s="29"/>
      <c r="H60" s="29"/>
    </row>
    <row r="61" spans="1:8" hidden="1" x14ac:dyDescent="0.25">
      <c r="A61" s="9"/>
      <c r="B61" s="9" t="s">
        <v>40</v>
      </c>
      <c r="C61" s="9"/>
      <c r="D61" s="36"/>
      <c r="E61" s="54">
        <v>0</v>
      </c>
      <c r="F61" s="36"/>
      <c r="G61" s="29"/>
      <c r="H61" s="29"/>
    </row>
    <row r="62" spans="1:8" hidden="1" x14ac:dyDescent="0.25">
      <c r="A62" s="9"/>
      <c r="B62" s="9"/>
      <c r="C62" s="9"/>
      <c r="D62" s="36"/>
      <c r="E62" s="36"/>
      <c r="F62" s="36"/>
      <c r="G62" s="29"/>
      <c r="H62" s="29"/>
    </row>
    <row r="63" spans="1:8" x14ac:dyDescent="0.25">
      <c r="B63" s="5" t="s">
        <v>23</v>
      </c>
      <c r="D63" s="36"/>
      <c r="E63" s="52">
        <f>E64*E65</f>
        <v>0</v>
      </c>
      <c r="F63" s="52">
        <f t="shared" ref="F63:H63" si="23">F64*F65</f>
        <v>1935.677625</v>
      </c>
      <c r="G63" s="52">
        <f t="shared" si="23"/>
        <v>1211.3470577249998</v>
      </c>
      <c r="H63" s="52">
        <f t="shared" si="23"/>
        <v>842.28998747144988</v>
      </c>
    </row>
    <row r="64" spans="1:8" x14ac:dyDescent="0.25">
      <c r="A64" s="9"/>
      <c r="B64" s="9" t="s">
        <v>129</v>
      </c>
      <c r="C64" s="9" t="s">
        <v>128</v>
      </c>
      <c r="D64" s="36"/>
      <c r="E64" s="52">
        <v>0</v>
      </c>
      <c r="F64" s="52">
        <f>5*21</f>
        <v>105</v>
      </c>
      <c r="G64" s="52">
        <f>3*21</f>
        <v>63</v>
      </c>
      <c r="H64" s="52">
        <f>2*21</f>
        <v>42</v>
      </c>
    </row>
    <row r="65" spans="1:12" x14ac:dyDescent="0.25">
      <c r="A65" s="9"/>
      <c r="B65" s="9" t="s">
        <v>41</v>
      </c>
      <c r="C65" s="9"/>
      <c r="D65" s="36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6" spans="1:12" x14ac:dyDescent="0.25">
      <c r="D66" s="36"/>
      <c r="E66" s="36"/>
      <c r="F66" s="36"/>
      <c r="G66" s="29"/>
      <c r="H66" s="29"/>
    </row>
    <row r="67" spans="1:12" s="7" customFormat="1" x14ac:dyDescent="0.25">
      <c r="A67" s="5"/>
      <c r="B67" s="5" t="s">
        <v>191</v>
      </c>
      <c r="C67" s="5"/>
      <c r="D67" s="36"/>
      <c r="E67" s="52">
        <f>E68*E69</f>
        <v>0</v>
      </c>
      <c r="F67" s="52">
        <f t="shared" ref="F67:H67" si="24">F68*F69</f>
        <v>7673.0276700000004</v>
      </c>
      <c r="G67" s="52">
        <f t="shared" si="24"/>
        <v>4446.0932554499996</v>
      </c>
      <c r="H67" s="52">
        <f t="shared" si="24"/>
        <v>1854.9101061737397</v>
      </c>
      <c r="I67" s="6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36"/>
      <c r="E68" s="52">
        <v>0</v>
      </c>
      <c r="F68" s="52">
        <v>45</v>
      </c>
      <c r="G68" s="44">
        <v>25</v>
      </c>
      <c r="H68" s="44">
        <v>10</v>
      </c>
      <c r="I68" s="6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36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>
      <c r="D70" s="36"/>
      <c r="E70" s="36"/>
      <c r="F70" s="36"/>
      <c r="G70" s="29"/>
      <c r="H70" s="29"/>
    </row>
    <row r="71" spans="1:12" s="7" customFormat="1" hidden="1" x14ac:dyDescent="0.25">
      <c r="A71" s="5"/>
      <c r="B71" s="5" t="s">
        <v>1</v>
      </c>
      <c r="C71" s="5"/>
      <c r="D71" s="36"/>
      <c r="E71" s="36"/>
      <c r="F71" s="36"/>
      <c r="G71" s="29"/>
      <c r="H71" s="29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36"/>
      <c r="E72" s="36">
        <v>0</v>
      </c>
      <c r="F72" s="36"/>
      <c r="G72" s="29"/>
      <c r="H72" s="29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36"/>
      <c r="E73" s="36">
        <v>0</v>
      </c>
      <c r="F73" s="36"/>
      <c r="G73" s="29"/>
      <c r="H73" s="29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36"/>
      <c r="E74" s="36">
        <v>0</v>
      </c>
      <c r="F74" s="36"/>
      <c r="G74" s="29"/>
      <c r="H74" s="29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36"/>
      <c r="E75" s="36">
        <v>0</v>
      </c>
      <c r="F75" s="36"/>
      <c r="G75" s="29"/>
      <c r="H75" s="29"/>
      <c r="I75" s="6"/>
      <c r="J75" s="6"/>
      <c r="K75" s="6"/>
      <c r="L75" s="6"/>
    </row>
    <row r="76" spans="1:12" hidden="1" x14ac:dyDescent="0.25">
      <c r="D76" s="36"/>
      <c r="E76" s="36"/>
      <c r="F76" s="36"/>
      <c r="G76" s="29"/>
      <c r="H76" s="29"/>
    </row>
    <row r="77" spans="1:12" s="7" customFormat="1" hidden="1" x14ac:dyDescent="0.25">
      <c r="A77" s="5"/>
      <c r="B77" s="5" t="s">
        <v>3</v>
      </c>
      <c r="C77" s="5"/>
      <c r="D77" s="36"/>
      <c r="E77" s="36"/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36"/>
      <c r="E78" s="36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36"/>
      <c r="E79" s="36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>
      <c r="D80" s="36"/>
      <c r="E80" s="36"/>
      <c r="F80" s="36"/>
      <c r="G80" s="29"/>
      <c r="H80" s="29"/>
    </row>
    <row r="81" spans="1:12" s="7" customFormat="1" hidden="1" x14ac:dyDescent="0.25">
      <c r="A81" s="5"/>
      <c r="B81" s="5" t="s">
        <v>4</v>
      </c>
      <c r="C81" s="5"/>
      <c r="D81" s="36"/>
      <c r="E81" s="36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36"/>
      <c r="E82" s="36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36"/>
      <c r="E83" s="36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>
      <c r="D84" s="36"/>
      <c r="E84" s="36"/>
      <c r="F84" s="36"/>
      <c r="G84" s="29"/>
      <c r="H84" s="29"/>
    </row>
    <row r="85" spans="1:12" s="7" customFormat="1" hidden="1" x14ac:dyDescent="0.25">
      <c r="A85" s="9"/>
      <c r="B85" s="9" t="s">
        <v>40</v>
      </c>
      <c r="C85" s="9"/>
      <c r="D85" s="36"/>
      <c r="E85" s="39"/>
      <c r="F85" s="36"/>
      <c r="G85" s="29"/>
      <c r="H85" s="29"/>
      <c r="I85" s="6"/>
      <c r="J85" s="6"/>
      <c r="K85" s="6"/>
      <c r="L85" s="6"/>
    </row>
    <row r="86" spans="1:12" hidden="1" x14ac:dyDescent="0.25">
      <c r="D86" s="36"/>
      <c r="E86" s="36"/>
      <c r="F86" s="36"/>
      <c r="G86" s="29"/>
      <c r="H86" s="29"/>
    </row>
    <row r="87" spans="1:12" x14ac:dyDescent="0.25">
      <c r="A87" s="58"/>
      <c r="B87" s="58" t="s">
        <v>10</v>
      </c>
      <c r="C87" s="58"/>
      <c r="D87" s="59"/>
      <c r="E87" s="60">
        <f>E88*E89+E91*E92</f>
        <v>0</v>
      </c>
      <c r="F87" s="60">
        <f t="shared" ref="F87:H87" si="25">F88*F89+F91*F92</f>
        <v>780</v>
      </c>
      <c r="G87" s="60">
        <f t="shared" si="25"/>
        <v>312</v>
      </c>
      <c r="H87" s="60">
        <f t="shared" si="25"/>
        <v>208</v>
      </c>
    </row>
    <row r="88" spans="1:12" s="7" customFormat="1" hidden="1" x14ac:dyDescent="0.25">
      <c r="A88" s="5"/>
      <c r="B88" s="9" t="s">
        <v>50</v>
      </c>
      <c r="C88" s="5"/>
      <c r="D88" s="36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36"/>
      <c r="E89" s="52"/>
      <c r="F89" s="52"/>
      <c r="G89" s="44"/>
      <c r="H89" s="44"/>
      <c r="I89" s="6"/>
      <c r="J89" s="6"/>
      <c r="K89" s="6"/>
      <c r="L89" s="6"/>
    </row>
    <row r="90" spans="1:12" hidden="1" x14ac:dyDescent="0.25">
      <c r="D90" s="36"/>
      <c r="E90" s="52"/>
      <c r="F90" s="52"/>
      <c r="G90" s="44"/>
      <c r="H90" s="44"/>
    </row>
    <row r="91" spans="1:12" s="7" customFormat="1" x14ac:dyDescent="0.25">
      <c r="A91" s="5"/>
      <c r="B91" s="9" t="s">
        <v>52</v>
      </c>
      <c r="C91" s="5"/>
      <c r="D91" s="36"/>
      <c r="E91" s="52">
        <v>0</v>
      </c>
      <c r="F91" s="52">
        <v>15</v>
      </c>
      <c r="G91" s="44">
        <v>6</v>
      </c>
      <c r="H91" s="44">
        <v>4</v>
      </c>
      <c r="I91" s="6"/>
      <c r="J91" s="6"/>
      <c r="K91" s="6"/>
      <c r="L91" s="6"/>
    </row>
    <row r="92" spans="1:12" s="7" customFormat="1" x14ac:dyDescent="0.25">
      <c r="A92" s="5"/>
      <c r="B92" s="9" t="s">
        <v>53</v>
      </c>
      <c r="C92" s="5"/>
      <c r="D92" s="36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>
      <c r="D93" s="36"/>
      <c r="E93" s="52"/>
      <c r="F93" s="52"/>
      <c r="G93" s="44"/>
      <c r="H93" s="44"/>
    </row>
    <row r="94" spans="1:12" x14ac:dyDescent="0.25">
      <c r="D94" s="36"/>
      <c r="E94" s="36"/>
      <c r="F94" s="36"/>
      <c r="G94" s="29"/>
      <c r="H94" s="29"/>
    </row>
    <row r="95" spans="1:12" x14ac:dyDescent="0.25">
      <c r="A95" s="58"/>
      <c r="B95" s="58" t="s">
        <v>194</v>
      </c>
      <c r="C95" s="58"/>
      <c r="D95" s="59"/>
      <c r="E95" s="60">
        <f>E96*E97</f>
        <v>0</v>
      </c>
      <c r="F95" s="60">
        <f t="shared" ref="F95:H95" si="26">F96*F97</f>
        <v>743.12691355000004</v>
      </c>
      <c r="G95" s="60">
        <f t="shared" si="26"/>
        <v>775.08137083265001</v>
      </c>
      <c r="H95" s="60">
        <f t="shared" si="26"/>
        <v>0</v>
      </c>
    </row>
    <row r="96" spans="1:12" s="7" customFormat="1" x14ac:dyDescent="0.25">
      <c r="A96" s="10"/>
      <c r="B96" s="45" t="s">
        <v>162</v>
      </c>
      <c r="C96" s="10" t="s">
        <v>163</v>
      </c>
      <c r="D96" s="36"/>
      <c r="E96" s="52">
        <v>0</v>
      </c>
      <c r="F96" s="52">
        <v>1</v>
      </c>
      <c r="G96" s="52">
        <v>1</v>
      </c>
      <c r="H96" s="52"/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36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8" spans="1:12" x14ac:dyDescent="0.25">
      <c r="D98" s="36"/>
      <c r="E98" s="52"/>
      <c r="F98" s="52"/>
      <c r="G98" s="44"/>
      <c r="H98" s="44"/>
    </row>
    <row r="99" spans="1:12" hidden="1" x14ac:dyDescent="0.25">
      <c r="A99" s="58"/>
      <c r="B99" s="58" t="s">
        <v>148</v>
      </c>
      <c r="C99" s="58"/>
      <c r="D99" s="59"/>
      <c r="E99" s="59">
        <f>E100*E101+E102*E103</f>
        <v>0</v>
      </c>
      <c r="F99" s="60">
        <f t="shared" ref="F99:H99" si="27">F100*F101+F102*F103</f>
        <v>0</v>
      </c>
      <c r="G99" s="60">
        <f t="shared" si="27"/>
        <v>0</v>
      </c>
      <c r="H99" s="60">
        <f t="shared" si="27"/>
        <v>0</v>
      </c>
    </row>
    <row r="100" spans="1:12" hidden="1" x14ac:dyDescent="0.25">
      <c r="B100" s="45" t="s">
        <v>149</v>
      </c>
      <c r="C100" s="5" t="s">
        <v>150</v>
      </c>
      <c r="D100" s="36"/>
      <c r="E100" s="36"/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D101" s="36"/>
      <c r="E101" s="36"/>
      <c r="F101" s="52">
        <f>F88</f>
        <v>0</v>
      </c>
      <c r="G101" s="52">
        <f t="shared" ref="G101:H101" si="28">G88</f>
        <v>0</v>
      </c>
      <c r="H101" s="52">
        <f t="shared" si="28"/>
        <v>0</v>
      </c>
    </row>
    <row r="102" spans="1:12" hidden="1" x14ac:dyDescent="0.25">
      <c r="B102" s="45" t="s">
        <v>152</v>
      </c>
      <c r="D102" s="36"/>
      <c r="E102" s="36"/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D103" s="36"/>
      <c r="E103" s="36"/>
      <c r="F103" s="52">
        <v>0</v>
      </c>
      <c r="G103" s="44">
        <v>0</v>
      </c>
      <c r="H103" s="44">
        <v>0</v>
      </c>
    </row>
    <row r="104" spans="1:12" hidden="1" x14ac:dyDescent="0.25">
      <c r="B104" s="45"/>
      <c r="D104" s="36"/>
      <c r="E104" s="36"/>
      <c r="F104" s="36"/>
      <c r="G104" s="29"/>
      <c r="H104" s="29"/>
    </row>
    <row r="105" spans="1:12" x14ac:dyDescent="0.25">
      <c r="A105" s="58"/>
      <c r="B105" s="58" t="s">
        <v>24</v>
      </c>
      <c r="C105" s="58"/>
      <c r="D105" s="59"/>
      <c r="E105" s="60">
        <f>E106*E107</f>
        <v>0</v>
      </c>
      <c r="F105" s="60">
        <f t="shared" ref="F105:H105" si="29">F106*F107</f>
        <v>187.73999999999998</v>
      </c>
      <c r="G105" s="60">
        <f t="shared" si="29"/>
        <v>130.54187999999999</v>
      </c>
      <c r="H105" s="60">
        <f t="shared" si="29"/>
        <v>68.077590419999993</v>
      </c>
    </row>
    <row r="106" spans="1:12" s="7" customFormat="1" x14ac:dyDescent="0.25">
      <c r="A106" s="5"/>
      <c r="B106" s="45" t="s">
        <v>54</v>
      </c>
      <c r="C106" s="5"/>
      <c r="D106" s="36"/>
      <c r="E106" s="52">
        <v>0</v>
      </c>
      <c r="F106" s="52">
        <v>30</v>
      </c>
      <c r="G106" s="52">
        <v>20</v>
      </c>
      <c r="H106" s="52">
        <v>10</v>
      </c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36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8" spans="1:12" x14ac:dyDescent="0.25">
      <c r="D108" s="36"/>
      <c r="E108" s="36"/>
      <c r="F108" s="36"/>
      <c r="G108" s="29"/>
      <c r="H108" s="29"/>
    </row>
    <row r="109" spans="1:12" hidden="1" x14ac:dyDescent="0.25">
      <c r="A109" s="58"/>
      <c r="B109" s="58" t="s">
        <v>7</v>
      </c>
      <c r="C109" s="58"/>
      <c r="D109" s="59"/>
      <c r="E109" s="59"/>
      <c r="F109" s="59"/>
      <c r="G109" s="59"/>
      <c r="H109" s="59"/>
    </row>
    <row r="110" spans="1:12" s="7" customFormat="1" hidden="1" x14ac:dyDescent="0.25">
      <c r="A110" s="5"/>
      <c r="B110" s="4" t="s">
        <v>58</v>
      </c>
      <c r="C110" s="5"/>
      <c r="D110" s="36"/>
      <c r="E110" s="36"/>
      <c r="F110" s="36"/>
      <c r="G110" s="29"/>
      <c r="H110" s="29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48"/>
      <c r="E111" s="48"/>
      <c r="F111" s="48"/>
      <c r="G111" s="49"/>
      <c r="H111" s="49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48"/>
      <c r="E112" s="48"/>
      <c r="F112" s="48"/>
      <c r="G112" s="49"/>
      <c r="H112" s="49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48"/>
      <c r="E113" s="48"/>
      <c r="F113" s="48"/>
      <c r="G113" s="49"/>
      <c r="H113" s="49"/>
      <c r="I113" s="50"/>
      <c r="J113" s="50"/>
      <c r="K113" s="50"/>
      <c r="L113" s="50"/>
    </row>
    <row r="114" spans="1:12" hidden="1" x14ac:dyDescent="0.25">
      <c r="D114" s="36"/>
      <c r="E114" s="36"/>
      <c r="F114" s="36"/>
      <c r="G114" s="29"/>
      <c r="H114" s="29"/>
    </row>
    <row r="115" spans="1:12" hidden="1" x14ac:dyDescent="0.25">
      <c r="A115" s="58"/>
      <c r="B115" s="58" t="s">
        <v>26</v>
      </c>
      <c r="C115" s="58"/>
      <c r="D115" s="59"/>
      <c r="E115" s="59"/>
      <c r="F115" s="59"/>
      <c r="G115" s="59"/>
      <c r="H115" s="59"/>
    </row>
    <row r="116" spans="1:12" s="5" customFormat="1" hidden="1" x14ac:dyDescent="0.25">
      <c r="B116" s="63" t="s">
        <v>61</v>
      </c>
      <c r="D116" s="36"/>
      <c r="E116" s="36"/>
      <c r="F116" s="36"/>
      <c r="G116" s="29"/>
      <c r="H116" s="29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36"/>
      <c r="E117" s="36"/>
      <c r="F117" s="36"/>
      <c r="G117" s="29"/>
      <c r="H117" s="29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36"/>
      <c r="E118" s="36"/>
      <c r="F118" s="36"/>
      <c r="G118" s="29"/>
      <c r="H118" s="29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36"/>
      <c r="E119" s="36"/>
      <c r="F119" s="36"/>
      <c r="G119" s="29"/>
      <c r="H119" s="29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hidden="1" x14ac:dyDescent="0.25">
      <c r="D125" s="36"/>
      <c r="E125" s="36"/>
      <c r="F125" s="36"/>
      <c r="G125" s="29"/>
      <c r="H125" s="29"/>
    </row>
    <row r="126" spans="1:12" hidden="1" x14ac:dyDescent="0.25">
      <c r="A126" s="58"/>
      <c r="B126" s="58" t="s">
        <v>25</v>
      </c>
      <c r="C126" s="58"/>
      <c r="D126" s="59"/>
      <c r="E126" s="59"/>
      <c r="F126" s="59"/>
      <c r="G126" s="59"/>
      <c r="H126" s="59"/>
    </row>
    <row r="127" spans="1:12" s="5" customFormat="1" hidden="1" x14ac:dyDescent="0.25">
      <c r="B127" s="47" t="s">
        <v>64</v>
      </c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36"/>
      <c r="E129" s="36"/>
      <c r="F129" s="36"/>
      <c r="G129" s="29"/>
      <c r="H129" s="29"/>
      <c r="I129" s="6"/>
      <c r="J129" s="6"/>
      <c r="K129" s="6"/>
      <c r="L129" s="6"/>
    </row>
    <row r="130" spans="1:12" x14ac:dyDescent="0.25">
      <c r="A130" s="58"/>
      <c r="B130" s="58"/>
      <c r="C130" s="58"/>
      <c r="D130" s="59"/>
      <c r="E130" s="59"/>
      <c r="F130" s="59"/>
      <c r="G130" s="59"/>
      <c r="H130" s="59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0"/>
  <sheetViews>
    <sheetView topLeftCell="A13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91.28515625" style="5" customWidth="1"/>
    <col min="3" max="3" width="14.140625" style="94" customWidth="1"/>
    <col min="4" max="4" width="14.7109375" style="36" customWidth="1"/>
    <col min="5" max="5" width="12" style="36" bestFit="1" customWidth="1"/>
    <col min="6" max="6" width="11.5703125" style="36" bestFit="1" customWidth="1"/>
    <col min="7" max="7" width="10.28515625" style="29" bestFit="1" customWidth="1"/>
    <col min="8" max="8" width="10.42578125" style="29" bestFit="1" customWidth="1"/>
    <col min="9" max="16384" width="9.140625" style="6"/>
  </cols>
  <sheetData>
    <row r="1" spans="1:12" s="140" customFormat="1" ht="34.5" x14ac:dyDescent="0.3">
      <c r="A1" s="227">
        <v>8</v>
      </c>
      <c r="B1" s="228" t="s">
        <v>337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93"/>
      <c r="D4" s="34"/>
      <c r="E4" s="34"/>
      <c r="F4" s="34"/>
      <c r="G4" s="35"/>
      <c r="H4" s="35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3557.2098697479751</v>
      </c>
      <c r="E5" s="52">
        <f>E67</f>
        <v>0</v>
      </c>
      <c r="F5" s="52">
        <f t="shared" ref="F5:H5" si="1">F67</f>
        <v>1935.677625</v>
      </c>
      <c r="G5" s="52">
        <f t="shared" si="1"/>
        <v>999.84201589999986</v>
      </c>
      <c r="H5" s="52">
        <f t="shared" si="1"/>
        <v>621.69022884797494</v>
      </c>
      <c r="I5" s="70"/>
    </row>
    <row r="6" spans="1:12" x14ac:dyDescent="0.25">
      <c r="B6" s="17" t="s">
        <v>191</v>
      </c>
      <c r="D6" s="52">
        <f t="shared" si="0"/>
        <v>19148.038845367737</v>
      </c>
      <c r="E6" s="52">
        <f>E71</f>
        <v>0</v>
      </c>
      <c r="F6" s="52">
        <f t="shared" ref="F6:H6" si="2">F71</f>
        <v>11424.285642000001</v>
      </c>
      <c r="G6" s="52">
        <f t="shared" si="2"/>
        <v>5868.8430971939997</v>
      </c>
      <c r="H6" s="52">
        <f t="shared" si="2"/>
        <v>1854.9101061737397</v>
      </c>
      <c r="I6" s="70"/>
    </row>
    <row r="7" spans="1:12" ht="14.25" thickBot="1" x14ac:dyDescent="0.3">
      <c r="A7" s="13"/>
      <c r="B7" s="13" t="s">
        <v>5</v>
      </c>
      <c r="C7" s="95"/>
      <c r="D7" s="55">
        <f>SUBTOTAL(9,D5:D6)</f>
        <v>22705.248715115711</v>
      </c>
      <c r="E7" s="55">
        <f>SUBTOTAL(9,E5:E6)</f>
        <v>0</v>
      </c>
      <c r="F7" s="55">
        <f>SUBTOTAL(9,F5:F6)</f>
        <v>13359.963267000001</v>
      </c>
      <c r="G7" s="55">
        <f>SUBTOTAL(9,G5:G6)</f>
        <v>6868.6851130939995</v>
      </c>
      <c r="H7" s="55">
        <f>SUBTOTAL(9,H5:H6)</f>
        <v>2476.6003350217147</v>
      </c>
      <c r="I7" s="70"/>
    </row>
    <row r="8" spans="1:12" ht="7.5" customHeight="1" x14ac:dyDescent="0.25">
      <c r="D8" s="52"/>
      <c r="E8" s="52"/>
      <c r="F8" s="52"/>
      <c r="G8" s="44"/>
      <c r="H8" s="44"/>
      <c r="I8" s="70"/>
    </row>
    <row r="9" spans="1:12" x14ac:dyDescent="0.25">
      <c r="A9" s="16"/>
      <c r="B9" s="16" t="s">
        <v>11</v>
      </c>
      <c r="C9" s="93"/>
      <c r="D9" s="61"/>
      <c r="E9" s="61"/>
      <c r="F9" s="61"/>
      <c r="G9" s="62"/>
      <c r="H9" s="62"/>
      <c r="I9" s="69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E91</f>
        <v>0</v>
      </c>
      <c r="F10" s="52">
        <f t="shared" ref="F10:H10" si="4">F91</f>
        <v>0</v>
      </c>
      <c r="G10" s="52">
        <f t="shared" si="4"/>
        <v>0</v>
      </c>
      <c r="H10" s="52">
        <f t="shared" si="4"/>
        <v>0</v>
      </c>
      <c r="I10" s="70"/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  <c r="I11" s="70"/>
    </row>
    <row r="12" spans="1:12" ht="14.25" thickBot="1" x14ac:dyDescent="0.3">
      <c r="A12" s="13"/>
      <c r="B12" s="13" t="s">
        <v>68</v>
      </c>
      <c r="C12" s="95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  <c r="I12" s="70"/>
    </row>
    <row r="13" spans="1:12" ht="8.25" customHeight="1" x14ac:dyDescent="0.25">
      <c r="D13" s="52"/>
      <c r="E13" s="52"/>
      <c r="F13" s="52"/>
      <c r="G13" s="44"/>
      <c r="H13" s="44"/>
      <c r="I13" s="70"/>
    </row>
    <row r="14" spans="1:12" x14ac:dyDescent="0.25">
      <c r="A14" s="16"/>
      <c r="B14" s="16" t="s">
        <v>12</v>
      </c>
      <c r="C14" s="93"/>
      <c r="D14" s="61"/>
      <c r="E14" s="61"/>
      <c r="F14" s="61"/>
      <c r="G14" s="62"/>
      <c r="H14" s="62"/>
      <c r="I14" s="69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1518.2082843826502</v>
      </c>
      <c r="E15" s="52">
        <f>E99</f>
        <v>0</v>
      </c>
      <c r="F15" s="52">
        <f t="shared" ref="F15:H15" si="7">F99</f>
        <v>743.12691355000004</v>
      </c>
      <c r="G15" s="52">
        <f t="shared" si="7"/>
        <v>775.08137083265001</v>
      </c>
      <c r="H15" s="52">
        <f t="shared" si="7"/>
        <v>0</v>
      </c>
      <c r="I15" s="70"/>
    </row>
    <row r="16" spans="1:12" x14ac:dyDescent="0.25">
      <c r="B16" s="17" t="s">
        <v>73</v>
      </c>
      <c r="D16" s="52"/>
      <c r="E16" s="52"/>
      <c r="F16" s="52"/>
      <c r="G16" s="44"/>
      <c r="H16" s="44"/>
      <c r="I16" s="70"/>
    </row>
    <row r="17" spans="1:12" ht="14.25" thickBot="1" x14ac:dyDescent="0.3">
      <c r="A17" s="13"/>
      <c r="B17" s="13" t="s">
        <v>76</v>
      </c>
      <c r="C17" s="95"/>
      <c r="D17" s="55">
        <f>SUBTOTAL(9,D15:D16)</f>
        <v>1518.2082843826502</v>
      </c>
      <c r="E17" s="55">
        <f t="shared" ref="E17:H17" si="8">SUBTOTAL(9,E15:E16)</f>
        <v>0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0</v>
      </c>
      <c r="I17" s="70"/>
    </row>
    <row r="18" spans="1:12" ht="7.5" customHeight="1" x14ac:dyDescent="0.25">
      <c r="D18" s="52"/>
      <c r="E18" s="52"/>
      <c r="F18" s="52"/>
      <c r="G18" s="44"/>
      <c r="H18" s="44"/>
      <c r="I18" s="70"/>
    </row>
    <row r="19" spans="1:12" x14ac:dyDescent="0.25">
      <c r="A19" s="16"/>
      <c r="B19" s="16" t="s">
        <v>156</v>
      </c>
      <c r="C19" s="93"/>
      <c r="D19" s="61"/>
      <c r="E19" s="61"/>
      <c r="F19" s="61"/>
      <c r="G19" s="62"/>
      <c r="H19" s="62"/>
      <c r="I19" s="69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E103</f>
        <v>0</v>
      </c>
      <c r="F20" s="52">
        <f t="shared" ref="F20:H20" si="10">F103</f>
        <v>0</v>
      </c>
      <c r="G20" s="52">
        <f t="shared" si="10"/>
        <v>0</v>
      </c>
      <c r="H20" s="52">
        <f t="shared" si="10"/>
        <v>0</v>
      </c>
      <c r="I20" s="70"/>
    </row>
    <row r="21" spans="1:12" x14ac:dyDescent="0.25">
      <c r="B21" s="17" t="s">
        <v>157</v>
      </c>
      <c r="D21" s="52">
        <f t="shared" ref="D21" si="11">SUM(E21:H21)</f>
        <v>0</v>
      </c>
      <c r="E21" s="52"/>
      <c r="F21" s="52"/>
      <c r="G21" s="44"/>
      <c r="H21" s="44"/>
      <c r="I21" s="70"/>
    </row>
    <row r="22" spans="1:12" ht="14.25" thickBot="1" x14ac:dyDescent="0.3">
      <c r="A22" s="13"/>
      <c r="B22" s="13" t="s">
        <v>158</v>
      </c>
      <c r="C22" s="95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  <c r="I22" s="70"/>
    </row>
    <row r="23" spans="1:12" ht="7.5" customHeight="1" x14ac:dyDescent="0.25">
      <c r="D23" s="52"/>
      <c r="E23" s="52"/>
      <c r="F23" s="52"/>
      <c r="G23" s="44"/>
      <c r="H23" s="44"/>
      <c r="I23" s="70"/>
    </row>
    <row r="24" spans="1:12" x14ac:dyDescent="0.25">
      <c r="A24" s="16"/>
      <c r="B24" s="16" t="s">
        <v>74</v>
      </c>
      <c r="C24" s="93"/>
      <c r="D24" s="61"/>
      <c r="E24" s="61"/>
      <c r="F24" s="61"/>
      <c r="G24" s="62"/>
      <c r="H24" s="62"/>
      <c r="I24" s="69"/>
      <c r="J24" s="12"/>
      <c r="K24" s="12"/>
      <c r="L24" s="12"/>
    </row>
    <row r="25" spans="1:12" x14ac:dyDescent="0.25">
      <c r="B25" s="17" t="s">
        <v>24</v>
      </c>
      <c r="D25" s="52">
        <f>SUM(E25:H25)</f>
        <v>578.13588041999992</v>
      </c>
      <c r="E25" s="52">
        <f>E109</f>
        <v>0</v>
      </c>
      <c r="F25" s="52">
        <f t="shared" ref="F25:H25" si="13">F109</f>
        <v>281.60999999999996</v>
      </c>
      <c r="G25" s="52">
        <f t="shared" si="13"/>
        <v>228.44828999999996</v>
      </c>
      <c r="H25" s="52">
        <f t="shared" si="13"/>
        <v>68.077590419999993</v>
      </c>
      <c r="I25" s="70"/>
    </row>
    <row r="26" spans="1:12" x14ac:dyDescent="0.25">
      <c r="B26" s="17" t="s">
        <v>25</v>
      </c>
      <c r="D26" s="52">
        <f t="shared" ref="D26" si="14">SUM(E26:H26)</f>
        <v>154</v>
      </c>
      <c r="E26" s="52">
        <f>E134</f>
        <v>0</v>
      </c>
      <c r="F26" s="52">
        <f>F134</f>
        <v>154</v>
      </c>
      <c r="G26" s="52">
        <f>G134</f>
        <v>0</v>
      </c>
      <c r="H26" s="52">
        <f>H134</f>
        <v>0</v>
      </c>
      <c r="I26" s="70"/>
    </row>
    <row r="27" spans="1:12" x14ac:dyDescent="0.25">
      <c r="B27" s="17" t="s">
        <v>432</v>
      </c>
      <c r="D27" s="52"/>
      <c r="E27" s="52"/>
      <c r="F27" s="52"/>
      <c r="G27" s="44"/>
      <c r="H27" s="44"/>
      <c r="I27" s="70"/>
    </row>
    <row r="28" spans="1:12" ht="14.25" thickBot="1" x14ac:dyDescent="0.3">
      <c r="A28" s="13"/>
      <c r="B28" s="13" t="s">
        <v>75</v>
      </c>
      <c r="C28" s="95"/>
      <c r="D28" s="55">
        <f>SUBTOTAL(9,D25:D27)</f>
        <v>732.13588041999992</v>
      </c>
      <c r="E28" s="55">
        <f t="shared" ref="E28:H28" si="15">SUBTOTAL(9,E25:E27)</f>
        <v>0</v>
      </c>
      <c r="F28" s="55">
        <f t="shared" si="15"/>
        <v>435.60999999999996</v>
      </c>
      <c r="G28" s="55">
        <f t="shared" si="15"/>
        <v>228.44828999999996</v>
      </c>
      <c r="H28" s="55">
        <f t="shared" si="15"/>
        <v>68.077590419999993</v>
      </c>
      <c r="I28" s="70"/>
    </row>
    <row r="29" spans="1:12" ht="7.5" customHeight="1" x14ac:dyDescent="0.25">
      <c r="D29" s="52"/>
      <c r="E29" s="52"/>
      <c r="F29" s="52"/>
      <c r="G29" s="44"/>
      <c r="H29" s="44"/>
      <c r="I29" s="70"/>
    </row>
    <row r="30" spans="1:12" x14ac:dyDescent="0.25">
      <c r="A30" s="16"/>
      <c r="B30" s="16" t="s">
        <v>7</v>
      </c>
      <c r="C30" s="93"/>
      <c r="D30" s="61"/>
      <c r="E30" s="61"/>
      <c r="F30" s="61"/>
      <c r="G30" s="62"/>
      <c r="H30" s="62"/>
      <c r="I30" s="69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  <c r="E31" s="52"/>
      <c r="F31" s="52"/>
      <c r="G31" s="44"/>
      <c r="H31" s="44"/>
    </row>
    <row r="32" spans="1:12" x14ac:dyDescent="0.25">
      <c r="B32" s="17" t="s">
        <v>26</v>
      </c>
      <c r="D32" s="52">
        <f t="shared" si="16"/>
        <v>0</v>
      </c>
      <c r="E32" s="52"/>
      <c r="F32" s="52"/>
      <c r="G32" s="44"/>
      <c r="H32" s="44"/>
    </row>
    <row r="33" spans="1:12" x14ac:dyDescent="0.25">
      <c r="B33" s="17" t="s">
        <v>8</v>
      </c>
      <c r="D33" s="52">
        <f t="shared" si="16"/>
        <v>0</v>
      </c>
      <c r="E33" s="52"/>
      <c r="F33" s="52"/>
      <c r="G33" s="44"/>
      <c r="H33" s="44"/>
    </row>
    <row r="34" spans="1:12" x14ac:dyDescent="0.25">
      <c r="B34" s="17" t="s">
        <v>9</v>
      </c>
      <c r="D34" s="52">
        <f t="shared" si="16"/>
        <v>0</v>
      </c>
      <c r="E34" s="52"/>
      <c r="F34" s="52"/>
      <c r="G34" s="44"/>
      <c r="H34" s="44"/>
    </row>
    <row r="35" spans="1:12" ht="14.25" thickBot="1" x14ac:dyDescent="0.3">
      <c r="A35" s="13"/>
      <c r="B35" s="13" t="s">
        <v>69</v>
      </c>
      <c r="C35" s="95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7.5" customHeight="1" x14ac:dyDescent="0.25">
      <c r="D36" s="52"/>
      <c r="E36" s="52"/>
      <c r="F36" s="52"/>
      <c r="G36" s="44"/>
      <c r="H36" s="44"/>
    </row>
    <row r="37" spans="1:12" x14ac:dyDescent="0.25">
      <c r="A37" s="16"/>
      <c r="B37" s="16" t="s">
        <v>16</v>
      </c>
      <c r="C37" s="93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1"/>
      <c r="D38" s="52">
        <f t="shared" ref="D38:D42" si="18">SUM(E38:H38)</f>
        <v>0</v>
      </c>
      <c r="E38" s="52"/>
      <c r="F38" s="52"/>
      <c r="G38" s="44"/>
      <c r="H38" s="44"/>
    </row>
    <row r="39" spans="1:12" x14ac:dyDescent="0.25">
      <c r="A39" s="2"/>
      <c r="B39" s="2" t="s">
        <v>18</v>
      </c>
      <c r="C39" s="1"/>
      <c r="D39" s="52">
        <f t="shared" si="18"/>
        <v>0</v>
      </c>
      <c r="E39" s="52"/>
      <c r="F39" s="52"/>
      <c r="G39" s="44"/>
      <c r="H39" s="44"/>
    </row>
    <row r="40" spans="1:12" x14ac:dyDescent="0.25">
      <c r="A40" s="2"/>
      <c r="B40" s="2" t="s">
        <v>19</v>
      </c>
      <c r="C40" s="1"/>
      <c r="D40" s="52">
        <f t="shared" si="18"/>
        <v>0</v>
      </c>
      <c r="E40" s="52"/>
      <c r="F40" s="52"/>
      <c r="G40" s="44"/>
      <c r="H40" s="44"/>
    </row>
    <row r="41" spans="1:12" x14ac:dyDescent="0.25">
      <c r="A41" s="3"/>
      <c r="B41" s="3" t="s">
        <v>13</v>
      </c>
      <c r="C41" s="96"/>
      <c r="D41" s="52">
        <f t="shared" si="18"/>
        <v>0</v>
      </c>
      <c r="E41" s="52"/>
      <c r="F41" s="52"/>
      <c r="G41" s="44"/>
      <c r="H41" s="44"/>
    </row>
    <row r="42" spans="1:12" x14ac:dyDescent="0.25">
      <c r="A42" s="3"/>
      <c r="B42" s="3" t="s">
        <v>22</v>
      </c>
      <c r="C42" s="96"/>
      <c r="D42" s="52">
        <f t="shared" si="18"/>
        <v>0</v>
      </c>
      <c r="E42" s="52"/>
      <c r="F42" s="52"/>
      <c r="G42" s="44"/>
      <c r="H42" s="44"/>
    </row>
    <row r="43" spans="1:12" ht="14.25" thickBot="1" x14ac:dyDescent="0.3">
      <c r="A43" s="13"/>
      <c r="B43" s="13" t="s">
        <v>70</v>
      </c>
      <c r="C43" s="95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7.5" customHeight="1" x14ac:dyDescent="0.25">
      <c r="A44" s="3"/>
      <c r="B44" s="6"/>
      <c r="C44" s="96"/>
      <c r="D44" s="52"/>
      <c r="E44" s="52"/>
      <c r="F44" s="52"/>
      <c r="G44" s="44"/>
      <c r="H44" s="44"/>
    </row>
    <row r="45" spans="1:12" x14ac:dyDescent="0.25">
      <c r="A45" s="16"/>
      <c r="B45" s="16" t="s">
        <v>429</v>
      </c>
      <c r="C45" s="93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2"/>
      <c r="B46" s="2" t="s">
        <v>429</v>
      </c>
      <c r="C46" s="1"/>
      <c r="D46" s="52">
        <f t="shared" ref="D46" si="20">SUM(E46:H46)</f>
        <v>0</v>
      </c>
      <c r="E46" s="52">
        <f>E178</f>
        <v>0</v>
      </c>
      <c r="F46" s="52">
        <f t="shared" ref="F46:H46" si="21">F178</f>
        <v>0</v>
      </c>
      <c r="G46" s="44">
        <f t="shared" si="21"/>
        <v>0</v>
      </c>
      <c r="H46" s="44">
        <f t="shared" si="21"/>
        <v>0</v>
      </c>
    </row>
    <row r="47" spans="1:12" ht="14.25" thickBot="1" x14ac:dyDescent="0.3">
      <c r="A47" s="13"/>
      <c r="B47" s="13" t="s">
        <v>430</v>
      </c>
      <c r="C47" s="95"/>
      <c r="D47" s="55">
        <f>SUBTOTAL(9,D46)</f>
        <v>0</v>
      </c>
      <c r="E47" s="55">
        <f t="shared" ref="E47:H47" si="22">SUBTOTAL(9,E46)</f>
        <v>0</v>
      </c>
      <c r="F47" s="55">
        <f t="shared" si="22"/>
        <v>0</v>
      </c>
      <c r="G47" s="55">
        <f t="shared" si="22"/>
        <v>0</v>
      </c>
      <c r="H47" s="55">
        <f t="shared" si="22"/>
        <v>0</v>
      </c>
    </row>
    <row r="48" spans="1:12" x14ac:dyDescent="0.25">
      <c r="A48" s="3"/>
      <c r="B48" s="6"/>
      <c r="C48" s="96"/>
      <c r="D48" s="52"/>
      <c r="E48" s="52"/>
      <c r="F48" s="52"/>
      <c r="G48" s="44"/>
      <c r="H48" s="44"/>
    </row>
    <row r="49" spans="1:12" x14ac:dyDescent="0.25">
      <c r="A49" s="16"/>
      <c r="B49" s="16" t="s">
        <v>20</v>
      </c>
      <c r="C49" s="93"/>
      <c r="D49" s="61"/>
      <c r="E49" s="61"/>
      <c r="F49" s="61"/>
      <c r="G49" s="62"/>
      <c r="H49" s="62"/>
      <c r="I49" s="12"/>
      <c r="J49" s="12"/>
      <c r="K49" s="12"/>
      <c r="L49" s="12"/>
    </row>
    <row r="50" spans="1:12" x14ac:dyDescent="0.25">
      <c r="A50" s="3"/>
      <c r="B50" s="3" t="s">
        <v>218</v>
      </c>
      <c r="C50" s="96"/>
      <c r="D50" s="52">
        <f t="shared" ref="D50:D51" si="23">SUM(E50:H50)</f>
        <v>0</v>
      </c>
      <c r="E50" s="52">
        <f>E149</f>
        <v>0</v>
      </c>
      <c r="F50" s="52">
        <f t="shared" ref="F50:H50" si="24">F149</f>
        <v>0</v>
      </c>
      <c r="G50" s="52">
        <f t="shared" si="24"/>
        <v>0</v>
      </c>
      <c r="H50" s="52">
        <f t="shared" si="24"/>
        <v>0</v>
      </c>
    </row>
    <row r="51" spans="1:12" x14ac:dyDescent="0.25">
      <c r="A51" s="3"/>
      <c r="B51" s="3" t="s">
        <v>21</v>
      </c>
      <c r="C51" s="96"/>
      <c r="D51" s="52">
        <f t="shared" si="23"/>
        <v>3600</v>
      </c>
      <c r="E51" s="52">
        <f>E139</f>
        <v>0</v>
      </c>
      <c r="F51" s="52">
        <f t="shared" ref="F51:H51" si="25">F139</f>
        <v>500</v>
      </c>
      <c r="G51" s="52">
        <f t="shared" si="25"/>
        <v>1600</v>
      </c>
      <c r="H51" s="52">
        <f t="shared" si="25"/>
        <v>1500</v>
      </c>
    </row>
    <row r="52" spans="1:12" ht="14.25" thickBot="1" x14ac:dyDescent="0.3">
      <c r="A52" s="13"/>
      <c r="B52" s="13" t="s">
        <v>71</v>
      </c>
      <c r="C52" s="95"/>
      <c r="D52" s="55">
        <f>SUBTOTAL(9,D50:D51)</f>
        <v>3600</v>
      </c>
      <c r="E52" s="55">
        <f>SUBTOTAL(9,E50:E51)</f>
        <v>0</v>
      </c>
      <c r="F52" s="55">
        <f>SUBTOTAL(9,F50:F51)</f>
        <v>500</v>
      </c>
      <c r="G52" s="55">
        <f>SUBTOTAL(9,G50:G51)</f>
        <v>1600</v>
      </c>
      <c r="H52" s="55">
        <f>SUBTOTAL(9,H50:H51)</f>
        <v>1500</v>
      </c>
    </row>
    <row r="53" spans="1:12" ht="8.25" customHeight="1" x14ac:dyDescent="0.25">
      <c r="A53" s="1"/>
      <c r="B53" s="1"/>
      <c r="C53" s="1"/>
      <c r="D53" s="52"/>
      <c r="E53" s="52"/>
      <c r="F53" s="52"/>
      <c r="G53" s="44"/>
      <c r="H53" s="44"/>
    </row>
    <row r="54" spans="1:12" ht="14.25" thickBot="1" x14ac:dyDescent="0.3">
      <c r="A54" s="56"/>
      <c r="B54" s="56" t="s">
        <v>160</v>
      </c>
      <c r="C54" s="97"/>
      <c r="D54" s="57">
        <f>SUBTOTAL(9,D5:D52)</f>
        <v>28555.59287991836</v>
      </c>
      <c r="E54" s="57">
        <f>SUBTOTAL(9,E5:E52)</f>
        <v>0</v>
      </c>
      <c r="F54" s="57">
        <f>SUBTOTAL(9,F5:F52)</f>
        <v>15038.700180550002</v>
      </c>
      <c r="G54" s="57">
        <f>SUBTOTAL(9,G5:G52)</f>
        <v>9472.2147739266493</v>
      </c>
      <c r="H54" s="57">
        <f>SUBTOTAL(9,H5:H52)</f>
        <v>4044.6779254417147</v>
      </c>
    </row>
    <row r="55" spans="1:12" ht="14.25" thickBot="1" x14ac:dyDescent="0.3">
      <c r="A55" s="1"/>
      <c r="B55" s="1"/>
      <c r="C55" s="1"/>
    </row>
    <row r="56" spans="1:12" ht="18" thickTop="1" x14ac:dyDescent="0.3">
      <c r="A56" s="224"/>
      <c r="B56" s="225" t="s">
        <v>27</v>
      </c>
      <c r="C56" s="225"/>
      <c r="D56" s="226"/>
      <c r="E56" s="226"/>
      <c r="F56" s="226"/>
      <c r="G56" s="226"/>
      <c r="H56" s="226"/>
    </row>
    <row r="57" spans="1:12" ht="6.75" customHeight="1" x14ac:dyDescent="0.25">
      <c r="A57" s="1"/>
      <c r="B57" s="1"/>
      <c r="C57" s="1"/>
    </row>
    <row r="58" spans="1:12" s="15" customFormat="1" x14ac:dyDescent="0.25">
      <c r="A58" s="120"/>
      <c r="B58" s="120" t="s">
        <v>67</v>
      </c>
      <c r="C58" s="120" t="s">
        <v>66</v>
      </c>
      <c r="D58" s="121"/>
      <c r="E58" s="122">
        <f>start</f>
        <v>43466</v>
      </c>
      <c r="F58" s="122">
        <f>EOMONTH(E58,11)+1</f>
        <v>43831</v>
      </c>
      <c r="G58" s="122">
        <f>EOMONTH(F58,11)+1</f>
        <v>44197</v>
      </c>
      <c r="H58" s="122">
        <f>EOMONTH(G58,11)+1</f>
        <v>44562</v>
      </c>
    </row>
    <row r="59" spans="1:12" ht="6.75" customHeight="1" x14ac:dyDescent="0.25">
      <c r="C59" s="5"/>
    </row>
    <row r="60" spans="1:12" hidden="1" x14ac:dyDescent="0.25">
      <c r="A60" s="58"/>
      <c r="B60" s="58" t="s">
        <v>0</v>
      </c>
      <c r="C60" s="98"/>
      <c r="D60" s="59"/>
      <c r="E60" s="59"/>
      <c r="F60" s="59"/>
      <c r="G60" s="59"/>
      <c r="H60" s="59"/>
    </row>
    <row r="61" spans="1:12" hidden="1" x14ac:dyDescent="0.25">
      <c r="B61" s="5" t="s">
        <v>2</v>
      </c>
      <c r="E61" s="36">
        <f>E62*E63*E64*E65</f>
        <v>0</v>
      </c>
      <c r="F61" s="36">
        <f t="shared" ref="F61:H61" si="26">F62*F63*F64*F65</f>
        <v>0</v>
      </c>
      <c r="G61" s="36">
        <f t="shared" si="26"/>
        <v>0</v>
      </c>
      <c r="H61" s="36">
        <f t="shared" si="26"/>
        <v>0</v>
      </c>
      <c r="I61" s="70"/>
    </row>
    <row r="62" spans="1:12" hidden="1" x14ac:dyDescent="0.25">
      <c r="A62" s="9"/>
      <c r="B62" s="9" t="s">
        <v>37</v>
      </c>
      <c r="C62" s="99"/>
      <c r="E62" s="36">
        <v>0</v>
      </c>
      <c r="F62" s="36">
        <v>0</v>
      </c>
      <c r="G62" s="36">
        <v>0</v>
      </c>
      <c r="H62" s="36">
        <v>0</v>
      </c>
      <c r="I62" s="70"/>
    </row>
    <row r="63" spans="1:12" hidden="1" x14ac:dyDescent="0.25">
      <c r="A63" s="9"/>
      <c r="B63" s="9" t="s">
        <v>38</v>
      </c>
      <c r="C63" s="99"/>
      <c r="D63" s="37"/>
      <c r="E63" s="37">
        <v>0</v>
      </c>
      <c r="F63" s="77">
        <f>3/22</f>
        <v>0.13636363636363635</v>
      </c>
      <c r="G63" s="77">
        <f t="shared" ref="G63:H63" si="27">3/22</f>
        <v>0.13636363636363635</v>
      </c>
      <c r="H63" s="77">
        <f t="shared" si="27"/>
        <v>0.13636363636363635</v>
      </c>
      <c r="I63" s="70"/>
    </row>
    <row r="64" spans="1:12" hidden="1" x14ac:dyDescent="0.25">
      <c r="A64" s="9"/>
      <c r="B64" s="9" t="s">
        <v>39</v>
      </c>
      <c r="C64" s="99"/>
      <c r="E64" s="36">
        <f>'Rates and GI'!D11</f>
        <v>0</v>
      </c>
      <c r="F64" s="36">
        <f>E64*(1+index)</f>
        <v>0</v>
      </c>
      <c r="G64" s="36">
        <f>F64*(1+index)</f>
        <v>0</v>
      </c>
      <c r="H64" s="36">
        <f>G64*(1+index)</f>
        <v>0</v>
      </c>
      <c r="I64" s="70"/>
    </row>
    <row r="65" spans="1:12" hidden="1" x14ac:dyDescent="0.25">
      <c r="A65" s="9"/>
      <c r="B65" s="9" t="s">
        <v>40</v>
      </c>
      <c r="C65" s="99"/>
      <c r="E65" s="39">
        <v>0</v>
      </c>
      <c r="F65" s="36">
        <v>4</v>
      </c>
      <c r="G65" s="29">
        <v>12</v>
      </c>
      <c r="H65" s="29">
        <v>12</v>
      </c>
      <c r="I65" s="70"/>
    </row>
    <row r="66" spans="1:12" hidden="1" x14ac:dyDescent="0.25">
      <c r="A66" s="9"/>
      <c r="B66" s="9"/>
      <c r="C66" s="99"/>
      <c r="I66" s="70"/>
    </row>
    <row r="67" spans="1:12" x14ac:dyDescent="0.25">
      <c r="B67" s="5" t="s">
        <v>23</v>
      </c>
      <c r="E67" s="52">
        <f>E68*E69</f>
        <v>0</v>
      </c>
      <c r="F67" s="52">
        <f t="shared" ref="F67:H67" si="28">F68*F69</f>
        <v>1935.677625</v>
      </c>
      <c r="G67" s="52">
        <f t="shared" si="28"/>
        <v>999.84201589999986</v>
      </c>
      <c r="H67" s="52">
        <f t="shared" si="28"/>
        <v>621.69022884797494</v>
      </c>
      <c r="I67" s="70"/>
    </row>
    <row r="68" spans="1:12" x14ac:dyDescent="0.25">
      <c r="A68" s="9"/>
      <c r="B68" s="9" t="s">
        <v>129</v>
      </c>
      <c r="C68" s="99" t="s">
        <v>128</v>
      </c>
      <c r="E68" s="52">
        <v>0</v>
      </c>
      <c r="F68" s="52">
        <f>5*21</f>
        <v>105</v>
      </c>
      <c r="G68" s="52">
        <f>31+21</f>
        <v>52</v>
      </c>
      <c r="H68" s="52">
        <v>31</v>
      </c>
      <c r="I68" s="70"/>
    </row>
    <row r="69" spans="1:12" x14ac:dyDescent="0.25">
      <c r="A69" s="9"/>
      <c r="B69" s="9" t="s">
        <v>41</v>
      </c>
      <c r="C69" s="99"/>
      <c r="E69" s="52">
        <f>'Rates and GI'!D12</f>
        <v>17.675000000000001</v>
      </c>
      <c r="F69" s="52">
        <f>E69*(1+index)</f>
        <v>18.435025</v>
      </c>
      <c r="G69" s="52">
        <f>F69*(1+index)</f>
        <v>19.227731074999998</v>
      </c>
      <c r="H69" s="52">
        <f>G69*(1+index)</f>
        <v>20.054523511224996</v>
      </c>
      <c r="I69" s="70"/>
    </row>
    <row r="70" spans="1:12" x14ac:dyDescent="0.25">
      <c r="I70" s="70"/>
    </row>
    <row r="71" spans="1:12" s="7" customFormat="1" x14ac:dyDescent="0.25">
      <c r="A71" s="5"/>
      <c r="B71" s="5" t="s">
        <v>191</v>
      </c>
      <c r="C71" s="94"/>
      <c r="D71" s="36"/>
      <c r="E71" s="52">
        <f>E72*E73</f>
        <v>0</v>
      </c>
      <c r="F71" s="52">
        <f t="shared" ref="F71:H71" si="29">F72*F73</f>
        <v>11424.285642000001</v>
      </c>
      <c r="G71" s="52">
        <f t="shared" si="29"/>
        <v>5868.8430971939997</v>
      </c>
      <c r="H71" s="52">
        <f t="shared" si="29"/>
        <v>1854.9101061737397</v>
      </c>
      <c r="I71" s="70"/>
      <c r="J71" s="6"/>
      <c r="K71" s="6"/>
      <c r="L71" s="6"/>
    </row>
    <row r="72" spans="1:12" s="7" customFormat="1" x14ac:dyDescent="0.25">
      <c r="A72" s="9"/>
      <c r="B72" s="9" t="s">
        <v>193</v>
      </c>
      <c r="C72" s="99" t="s">
        <v>128</v>
      </c>
      <c r="D72" s="36"/>
      <c r="E72" s="52">
        <v>0</v>
      </c>
      <c r="F72" s="52">
        <f>45+22</f>
        <v>67</v>
      </c>
      <c r="G72" s="44">
        <f>10+23</f>
        <v>33</v>
      </c>
      <c r="H72" s="44">
        <v>10</v>
      </c>
      <c r="I72" s="70"/>
      <c r="J72" s="6"/>
      <c r="K72" s="6"/>
      <c r="L72" s="6"/>
    </row>
    <row r="73" spans="1:12" s="7" customFormat="1" x14ac:dyDescent="0.25">
      <c r="A73" s="9"/>
      <c r="B73" s="9" t="s">
        <v>41</v>
      </c>
      <c r="C73" s="99"/>
      <c r="D73" s="36"/>
      <c r="E73" s="52">
        <f>'Rates and GI'!D13</f>
        <v>163.48200000000003</v>
      </c>
      <c r="F73" s="52">
        <f>E73*(1+index)</f>
        <v>170.51172600000001</v>
      </c>
      <c r="G73" s="52">
        <f>F73*(1+index)</f>
        <v>177.84373021799999</v>
      </c>
      <c r="H73" s="52">
        <f>G73*(1+index)</f>
        <v>185.49101061737397</v>
      </c>
      <c r="I73" s="70"/>
      <c r="J73" s="6"/>
      <c r="K73" s="6"/>
      <c r="L73" s="6"/>
    </row>
    <row r="74" spans="1:12" hidden="1" x14ac:dyDescent="0.25">
      <c r="I74" s="70"/>
    </row>
    <row r="75" spans="1:12" s="7" customFormat="1" hidden="1" x14ac:dyDescent="0.25">
      <c r="A75" s="5"/>
      <c r="B75" s="5" t="s">
        <v>1</v>
      </c>
      <c r="C75" s="94"/>
      <c r="D75" s="36"/>
      <c r="E75" s="36"/>
      <c r="F75" s="36"/>
      <c r="G75" s="29"/>
      <c r="H75" s="29"/>
      <c r="I75" s="70"/>
      <c r="J75" s="6"/>
      <c r="K75" s="6"/>
      <c r="L75" s="6"/>
    </row>
    <row r="76" spans="1:12" s="7" customFormat="1" hidden="1" x14ac:dyDescent="0.25">
      <c r="A76" s="9"/>
      <c r="B76" s="9" t="s">
        <v>42</v>
      </c>
      <c r="C76" s="99"/>
      <c r="D76" s="36"/>
      <c r="E76" s="36">
        <v>0</v>
      </c>
      <c r="F76" s="36"/>
      <c r="G76" s="29"/>
      <c r="H76" s="29"/>
      <c r="I76" s="6"/>
      <c r="J76" s="6"/>
      <c r="K76" s="6"/>
      <c r="L76" s="6"/>
    </row>
    <row r="77" spans="1:12" s="7" customFormat="1" hidden="1" x14ac:dyDescent="0.25">
      <c r="A77" s="9"/>
      <c r="B77" s="9" t="s">
        <v>43</v>
      </c>
      <c r="C77" s="99"/>
      <c r="D77" s="36"/>
      <c r="E77" s="36">
        <v>0</v>
      </c>
      <c r="F77" s="36"/>
      <c r="G77" s="29"/>
      <c r="H77" s="29"/>
      <c r="I77" s="6"/>
      <c r="J77" s="6"/>
      <c r="K77" s="6"/>
      <c r="L77" s="6"/>
    </row>
    <row r="78" spans="1:12" s="7" customFormat="1" hidden="1" x14ac:dyDescent="0.25">
      <c r="A78" s="9"/>
      <c r="B78" s="9" t="s">
        <v>44</v>
      </c>
      <c r="C78" s="99"/>
      <c r="D78" s="36"/>
      <c r="E78" s="36">
        <v>0</v>
      </c>
      <c r="F78" s="36"/>
      <c r="G78" s="29"/>
      <c r="H78" s="29"/>
      <c r="I78" s="6"/>
      <c r="J78" s="6"/>
      <c r="K78" s="6"/>
      <c r="L78" s="6"/>
    </row>
    <row r="79" spans="1:12" s="7" customFormat="1" hidden="1" x14ac:dyDescent="0.25">
      <c r="A79" s="9"/>
      <c r="B79" s="9" t="s">
        <v>45</v>
      </c>
      <c r="C79" s="99"/>
      <c r="D79" s="36"/>
      <c r="E79" s="36">
        <v>0</v>
      </c>
      <c r="F79" s="36"/>
      <c r="G79" s="29"/>
      <c r="H79" s="29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3</v>
      </c>
      <c r="C81" s="94"/>
      <c r="D81" s="36"/>
      <c r="E81" s="36"/>
      <c r="F81" s="36"/>
      <c r="G81" s="29"/>
      <c r="H81" s="29"/>
      <c r="I81" s="6"/>
      <c r="J81" s="6"/>
      <c r="K81" s="6"/>
      <c r="L81" s="6"/>
    </row>
    <row r="82" spans="1:12" s="7" customFormat="1" hidden="1" x14ac:dyDescent="0.25">
      <c r="A82" s="9"/>
      <c r="B82" s="9" t="s">
        <v>46</v>
      </c>
      <c r="C82" s="99"/>
      <c r="D82" s="36"/>
      <c r="E82" s="36">
        <v>0</v>
      </c>
      <c r="F82" s="36"/>
      <c r="G82" s="29"/>
      <c r="H82" s="29"/>
      <c r="I82" s="6"/>
      <c r="J82" s="6"/>
      <c r="K82" s="6"/>
      <c r="L82" s="6"/>
    </row>
    <row r="83" spans="1:12" s="7" customFormat="1" hidden="1" x14ac:dyDescent="0.25">
      <c r="A83" s="9"/>
      <c r="B83" s="9" t="s">
        <v>47</v>
      </c>
      <c r="C83" s="99"/>
      <c r="D83" s="36"/>
      <c r="E83" s="36">
        <v>0</v>
      </c>
      <c r="F83" s="36"/>
      <c r="G83" s="29"/>
      <c r="H83" s="29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5"/>
      <c r="B85" s="5" t="s">
        <v>4</v>
      </c>
      <c r="C85" s="94"/>
      <c r="D85" s="36"/>
      <c r="E85" s="36"/>
      <c r="F85" s="36"/>
      <c r="G85" s="29"/>
      <c r="H85" s="29"/>
      <c r="I85" s="6"/>
      <c r="J85" s="6"/>
      <c r="K85" s="6"/>
      <c r="L85" s="6"/>
    </row>
    <row r="86" spans="1:12" s="7" customFormat="1" hidden="1" x14ac:dyDescent="0.25">
      <c r="A86" s="9"/>
      <c r="B86" s="9" t="s">
        <v>48</v>
      </c>
      <c r="C86" s="99"/>
      <c r="D86" s="36"/>
      <c r="E86" s="36">
        <v>0</v>
      </c>
      <c r="F86" s="36"/>
      <c r="G86" s="29"/>
      <c r="H86" s="29"/>
      <c r="I86" s="6"/>
      <c r="J86" s="6"/>
      <c r="K86" s="6"/>
      <c r="L86" s="6"/>
    </row>
    <row r="87" spans="1:12" s="7" customFormat="1" hidden="1" x14ac:dyDescent="0.25">
      <c r="A87" s="9"/>
      <c r="B87" s="9" t="s">
        <v>49</v>
      </c>
      <c r="C87" s="99"/>
      <c r="D87" s="36"/>
      <c r="E87" s="36">
        <v>0</v>
      </c>
      <c r="F87" s="36"/>
      <c r="G87" s="29"/>
      <c r="H87" s="29"/>
      <c r="I87" s="6"/>
      <c r="J87" s="6"/>
      <c r="K87" s="6"/>
      <c r="L87" s="6"/>
    </row>
    <row r="88" spans="1:12" hidden="1" x14ac:dyDescent="0.25"/>
    <row r="89" spans="1:12" s="7" customFormat="1" hidden="1" x14ac:dyDescent="0.25">
      <c r="A89" s="9"/>
      <c r="B89" s="9" t="s">
        <v>40</v>
      </c>
      <c r="C89" s="99"/>
      <c r="D89" s="36"/>
      <c r="E89" s="39"/>
      <c r="F89" s="36"/>
      <c r="G89" s="29"/>
      <c r="H89" s="29"/>
      <c r="I89" s="6"/>
      <c r="J89" s="6"/>
      <c r="K89" s="6"/>
      <c r="L89" s="6"/>
    </row>
    <row r="91" spans="1:12" hidden="1" x14ac:dyDescent="0.25">
      <c r="A91" s="58"/>
      <c r="B91" s="58" t="s">
        <v>10</v>
      </c>
      <c r="C91" s="98"/>
      <c r="D91" s="59"/>
      <c r="E91" s="60">
        <f>E92*E93+E95*E96</f>
        <v>0</v>
      </c>
      <c r="F91" s="60">
        <f t="shared" ref="F91:H91" si="30">F92*F93+F95*F96</f>
        <v>0</v>
      </c>
      <c r="G91" s="60">
        <f t="shared" si="30"/>
        <v>0</v>
      </c>
      <c r="H91" s="60">
        <f t="shared" si="30"/>
        <v>0</v>
      </c>
    </row>
    <row r="92" spans="1:12" s="7" customFormat="1" hidden="1" x14ac:dyDescent="0.25">
      <c r="A92" s="5"/>
      <c r="B92" s="9" t="s">
        <v>50</v>
      </c>
      <c r="C92" s="94"/>
      <c r="D92" s="36"/>
      <c r="E92" s="52">
        <v>0</v>
      </c>
      <c r="F92" s="52">
        <v>0</v>
      </c>
      <c r="G92" s="52">
        <v>0</v>
      </c>
      <c r="H92" s="52">
        <v>0</v>
      </c>
      <c r="I92" s="6"/>
      <c r="J92" s="6"/>
      <c r="K92" s="6"/>
      <c r="L92" s="6"/>
    </row>
    <row r="93" spans="1:12" s="7" customFormat="1" hidden="1" x14ac:dyDescent="0.25">
      <c r="A93" s="5"/>
      <c r="B93" s="9" t="s">
        <v>51</v>
      </c>
      <c r="C93" s="94"/>
      <c r="D93" s="36"/>
      <c r="E93" s="52">
        <f>Trips!$B$10</f>
        <v>911.66111833333343</v>
      </c>
      <c r="F93" s="52">
        <f>Trips!$B$10</f>
        <v>911.66111833333343</v>
      </c>
      <c r="G93" s="52">
        <f>Trips!$B$10</f>
        <v>911.66111833333343</v>
      </c>
      <c r="H93" s="52">
        <f>Trips!$B$10</f>
        <v>911.66111833333343</v>
      </c>
      <c r="I93" s="6"/>
      <c r="J93" s="6"/>
      <c r="K93" s="6"/>
      <c r="L93" s="6"/>
    </row>
    <row r="94" spans="1:12" hidden="1" x14ac:dyDescent="0.25">
      <c r="E94" s="52"/>
      <c r="F94" s="52"/>
      <c r="G94" s="44"/>
      <c r="H94" s="44"/>
    </row>
    <row r="95" spans="1:12" s="7" customFormat="1" hidden="1" x14ac:dyDescent="0.25">
      <c r="A95" s="5"/>
      <c r="B95" s="9" t="s">
        <v>52</v>
      </c>
      <c r="C95" s="94"/>
      <c r="D95" s="36"/>
      <c r="E95" s="52">
        <v>0</v>
      </c>
      <c r="F95" s="52">
        <v>0</v>
      </c>
      <c r="G95" s="44">
        <v>0</v>
      </c>
      <c r="H95" s="44">
        <v>0</v>
      </c>
      <c r="I95" s="6"/>
      <c r="J95" s="6"/>
      <c r="K95" s="6"/>
      <c r="L95" s="6"/>
    </row>
    <row r="96" spans="1:12" s="7" customFormat="1" hidden="1" x14ac:dyDescent="0.25">
      <c r="A96" s="5"/>
      <c r="B96" s="9" t="s">
        <v>53</v>
      </c>
      <c r="C96" s="94"/>
      <c r="D96" s="36"/>
      <c r="E96" s="52">
        <f>Trips!$B$5</f>
        <v>52</v>
      </c>
      <c r="F96" s="52">
        <f>Trips!$B$5</f>
        <v>52</v>
      </c>
      <c r="G96" s="52">
        <f>Trips!$B$5</f>
        <v>52</v>
      </c>
      <c r="H96" s="52">
        <f>Trips!$B$5</f>
        <v>52</v>
      </c>
      <c r="I96" s="6"/>
      <c r="J96" s="6"/>
      <c r="K96" s="6"/>
      <c r="L96" s="6"/>
    </row>
    <row r="97" spans="1:12" hidden="1" x14ac:dyDescent="0.25">
      <c r="E97" s="52"/>
      <c r="F97" s="52"/>
      <c r="G97" s="44"/>
      <c r="H97" s="44"/>
    </row>
    <row r="98" spans="1:12" hidden="1" x14ac:dyDescent="0.25">
      <c r="E98" s="52"/>
      <c r="F98" s="52"/>
      <c r="G98" s="44"/>
      <c r="H98" s="44"/>
    </row>
    <row r="99" spans="1:12" x14ac:dyDescent="0.25">
      <c r="A99" s="58"/>
      <c r="B99" s="58" t="s">
        <v>194</v>
      </c>
      <c r="C99" s="98"/>
      <c r="D99" s="59"/>
      <c r="E99" s="60">
        <f>E100*E101</f>
        <v>0</v>
      </c>
      <c r="F99" s="60">
        <f t="shared" ref="F99:H99" si="31">F100*F101</f>
        <v>743.12691355000004</v>
      </c>
      <c r="G99" s="60">
        <f t="shared" si="31"/>
        <v>775.08137083265001</v>
      </c>
      <c r="H99" s="60">
        <f t="shared" si="31"/>
        <v>0</v>
      </c>
    </row>
    <row r="100" spans="1:12" s="7" customFormat="1" x14ac:dyDescent="0.25">
      <c r="A100" s="10"/>
      <c r="B100" s="45" t="s">
        <v>162</v>
      </c>
      <c r="C100" s="100" t="s">
        <v>163</v>
      </c>
      <c r="D100" s="36"/>
      <c r="E100" s="52">
        <v>0</v>
      </c>
      <c r="F100" s="52">
        <v>1</v>
      </c>
      <c r="G100" s="52">
        <v>1</v>
      </c>
      <c r="H100" s="52">
        <v>0</v>
      </c>
      <c r="I100" s="6"/>
      <c r="J100" s="6"/>
      <c r="K100" s="6"/>
      <c r="L100" s="6"/>
    </row>
    <row r="101" spans="1:12" s="7" customFormat="1" x14ac:dyDescent="0.25">
      <c r="A101" s="5"/>
      <c r="B101" s="45" t="s">
        <v>159</v>
      </c>
      <c r="C101" s="94"/>
      <c r="D101" s="36"/>
      <c r="E101" s="52">
        <f>Trips!B29</f>
        <v>712.48985000000005</v>
      </c>
      <c r="F101" s="52">
        <f>E101*(1+index)</f>
        <v>743.12691355000004</v>
      </c>
      <c r="G101" s="52">
        <f>F101*(1+index)</f>
        <v>775.08137083265001</v>
      </c>
      <c r="H101" s="52">
        <f>G101*(1+index)</f>
        <v>808.40986977845387</v>
      </c>
      <c r="I101" s="6"/>
      <c r="J101" s="6"/>
      <c r="K101" s="6"/>
      <c r="L101" s="6"/>
    </row>
    <row r="102" spans="1:12" x14ac:dyDescent="0.25">
      <c r="E102" s="52"/>
      <c r="F102" s="52"/>
      <c r="G102" s="44"/>
      <c r="H102" s="44"/>
    </row>
    <row r="103" spans="1:12" hidden="1" x14ac:dyDescent="0.25">
      <c r="A103" s="58"/>
      <c r="B103" s="58" t="s">
        <v>148</v>
      </c>
      <c r="C103" s="98"/>
      <c r="D103" s="59"/>
      <c r="E103" s="60">
        <f>E104*E105+E106*E107</f>
        <v>0</v>
      </c>
      <c r="F103" s="60">
        <f t="shared" ref="F103:H103" si="32">F104*F105+F106*F107</f>
        <v>0</v>
      </c>
      <c r="G103" s="60">
        <f t="shared" si="32"/>
        <v>0</v>
      </c>
      <c r="H103" s="60">
        <f t="shared" si="32"/>
        <v>0</v>
      </c>
    </row>
    <row r="104" spans="1:12" hidden="1" x14ac:dyDescent="0.25">
      <c r="B104" s="45" t="s">
        <v>149</v>
      </c>
      <c r="C104" s="94" t="s">
        <v>150</v>
      </c>
      <c r="E104" s="52"/>
      <c r="F104" s="52">
        <f>Training!$C$31</f>
        <v>81.741000000000014</v>
      </c>
      <c r="G104" s="52">
        <f>Training!$C$31</f>
        <v>81.741000000000014</v>
      </c>
      <c r="H104" s="52">
        <f>Training!$C$31</f>
        <v>81.741000000000014</v>
      </c>
    </row>
    <row r="105" spans="1:12" hidden="1" x14ac:dyDescent="0.25">
      <c r="B105" s="45" t="s">
        <v>151</v>
      </c>
      <c r="E105" s="52"/>
      <c r="F105" s="52">
        <v>0</v>
      </c>
      <c r="G105" s="52">
        <v>0</v>
      </c>
      <c r="H105" s="52">
        <v>0</v>
      </c>
    </row>
    <row r="106" spans="1:12" hidden="1" x14ac:dyDescent="0.25">
      <c r="B106" s="45" t="s">
        <v>152</v>
      </c>
      <c r="E106" s="52"/>
      <c r="F106" s="52">
        <f>Training!C$22</f>
        <v>709.375</v>
      </c>
      <c r="G106" s="52">
        <f>F106*(1+index)</f>
        <v>739.87812499999995</v>
      </c>
      <c r="H106" s="52">
        <f>G106*(1+index)</f>
        <v>771.69288437499995</v>
      </c>
    </row>
    <row r="107" spans="1:12" hidden="1" x14ac:dyDescent="0.25">
      <c r="B107" s="45" t="s">
        <v>153</v>
      </c>
      <c r="E107" s="52">
        <v>0</v>
      </c>
      <c r="F107" s="52">
        <v>0</v>
      </c>
      <c r="G107" s="52">
        <v>0</v>
      </c>
      <c r="H107" s="52">
        <v>0</v>
      </c>
      <c r="I107" s="70"/>
    </row>
    <row r="108" spans="1:12" hidden="1" x14ac:dyDescent="0.25">
      <c r="B108" s="45"/>
      <c r="E108" s="52"/>
      <c r="F108" s="52"/>
      <c r="G108" s="44"/>
      <c r="H108" s="44"/>
      <c r="I108" s="70"/>
    </row>
    <row r="109" spans="1:12" x14ac:dyDescent="0.25">
      <c r="A109" s="58"/>
      <c r="B109" s="58" t="s">
        <v>24</v>
      </c>
      <c r="C109" s="98"/>
      <c r="D109" s="59"/>
      <c r="E109" s="60">
        <f>E110*E111</f>
        <v>0</v>
      </c>
      <c r="F109" s="60">
        <f t="shared" ref="F109:H109" si="33">F110*F111</f>
        <v>281.60999999999996</v>
      </c>
      <c r="G109" s="60">
        <f t="shared" si="33"/>
        <v>228.44828999999996</v>
      </c>
      <c r="H109" s="60">
        <f t="shared" si="33"/>
        <v>68.077590419999993</v>
      </c>
      <c r="I109" s="70"/>
    </row>
    <row r="110" spans="1:12" s="7" customFormat="1" x14ac:dyDescent="0.25">
      <c r="A110" s="5"/>
      <c r="B110" s="45" t="s">
        <v>54</v>
      </c>
      <c r="C110" s="94"/>
      <c r="D110" s="36"/>
      <c r="E110" s="52">
        <v>0</v>
      </c>
      <c r="F110" s="52">
        <v>45</v>
      </c>
      <c r="G110" s="52">
        <v>35</v>
      </c>
      <c r="H110" s="52">
        <v>10</v>
      </c>
      <c r="I110" s="70"/>
      <c r="J110" s="6"/>
      <c r="K110" s="6"/>
      <c r="L110" s="6"/>
    </row>
    <row r="111" spans="1:12" s="7" customFormat="1" x14ac:dyDescent="0.25">
      <c r="A111" s="5"/>
      <c r="B111" s="45" t="s">
        <v>55</v>
      </c>
      <c r="C111" s="94"/>
      <c r="D111" s="36"/>
      <c r="E111" s="52">
        <f>'Rates and GI'!D30</f>
        <v>6</v>
      </c>
      <c r="F111" s="52">
        <f>E111*(1+index)</f>
        <v>6.2579999999999991</v>
      </c>
      <c r="G111" s="52">
        <f>F111*(1+index)</f>
        <v>6.5270939999999991</v>
      </c>
      <c r="H111" s="52">
        <f>G111*(1+index)</f>
        <v>6.8077590419999989</v>
      </c>
      <c r="I111" s="70"/>
      <c r="J111" s="6"/>
      <c r="K111" s="6"/>
      <c r="L111" s="6"/>
    </row>
    <row r="112" spans="1:12" x14ac:dyDescent="0.25">
      <c r="E112" s="52"/>
      <c r="F112" s="52"/>
      <c r="G112" s="44"/>
      <c r="H112" s="44"/>
      <c r="I112" s="70"/>
    </row>
    <row r="113" spans="1:12" hidden="1" x14ac:dyDescent="0.25">
      <c r="A113" s="58"/>
      <c r="B113" s="58" t="s">
        <v>7</v>
      </c>
      <c r="C113" s="98"/>
      <c r="D113" s="59"/>
      <c r="E113" s="60"/>
      <c r="F113" s="60"/>
      <c r="G113" s="60"/>
      <c r="H113" s="60"/>
    </row>
    <row r="114" spans="1:12" s="7" customFormat="1" hidden="1" x14ac:dyDescent="0.25">
      <c r="A114" s="5"/>
      <c r="B114" s="4" t="s">
        <v>58</v>
      </c>
      <c r="C114" s="94"/>
      <c r="D114" s="36"/>
      <c r="E114" s="36"/>
      <c r="F114" s="36"/>
      <c r="G114" s="29"/>
      <c r="H114" s="29"/>
      <c r="I114" s="6"/>
      <c r="J114" s="6"/>
      <c r="K114" s="6"/>
      <c r="L114" s="6"/>
    </row>
    <row r="115" spans="1:12" s="51" customFormat="1" hidden="1" x14ac:dyDescent="0.25">
      <c r="A115" s="46"/>
      <c r="B115" s="47" t="s">
        <v>59</v>
      </c>
      <c r="C115" s="101" t="s">
        <v>56</v>
      </c>
      <c r="D115" s="48"/>
      <c r="E115" s="48"/>
      <c r="F115" s="48"/>
      <c r="G115" s="49"/>
      <c r="H115" s="49"/>
      <c r="I115" s="50"/>
      <c r="J115" s="50"/>
      <c r="K115" s="50"/>
      <c r="L115" s="50"/>
    </row>
    <row r="116" spans="1:12" s="46" customFormat="1" hidden="1" x14ac:dyDescent="0.25">
      <c r="B116" s="47" t="s">
        <v>57</v>
      </c>
      <c r="C116" s="101"/>
      <c r="D116" s="48"/>
      <c r="E116" s="48"/>
      <c r="F116" s="48"/>
      <c r="G116" s="49"/>
      <c r="H116" s="49"/>
      <c r="I116" s="50"/>
      <c r="J116" s="50"/>
      <c r="K116" s="50"/>
      <c r="L116" s="50"/>
    </row>
    <row r="117" spans="1:12" s="46" customFormat="1" hidden="1" x14ac:dyDescent="0.25">
      <c r="B117" s="47" t="s">
        <v>60</v>
      </c>
      <c r="C117" s="101"/>
      <c r="D117" s="48"/>
      <c r="E117" s="48"/>
      <c r="F117" s="48"/>
      <c r="G117" s="49"/>
      <c r="H117" s="49"/>
      <c r="I117" s="50"/>
      <c r="J117" s="50"/>
      <c r="K117" s="50"/>
      <c r="L117" s="50"/>
    </row>
    <row r="118" spans="1:12" hidden="1" x14ac:dyDescent="0.25"/>
    <row r="119" spans="1:12" hidden="1" x14ac:dyDescent="0.25">
      <c r="A119" s="58"/>
      <c r="B119" s="58" t="s">
        <v>26</v>
      </c>
      <c r="C119" s="98"/>
      <c r="D119" s="59"/>
      <c r="E119" s="59"/>
      <c r="F119" s="59"/>
      <c r="G119" s="59"/>
      <c r="H119" s="59"/>
    </row>
    <row r="120" spans="1:12" s="5" customFormat="1" hidden="1" x14ac:dyDescent="0.25">
      <c r="B120" s="63" t="s">
        <v>61</v>
      </c>
      <c r="C120" s="94"/>
      <c r="D120" s="36"/>
      <c r="E120" s="36"/>
      <c r="F120" s="36"/>
      <c r="G120" s="29"/>
      <c r="H120" s="29"/>
      <c r="I120" s="6"/>
      <c r="J120" s="6"/>
      <c r="K120" s="6"/>
      <c r="L120" s="6"/>
    </row>
    <row r="121" spans="1:12" s="5" customFormat="1" hidden="1" x14ac:dyDescent="0.25">
      <c r="B121" s="47" t="s">
        <v>166</v>
      </c>
      <c r="C121" s="94"/>
      <c r="D121" s="36"/>
      <c r="E121" s="36"/>
      <c r="F121" s="36"/>
      <c r="G121" s="29"/>
      <c r="H121" s="29"/>
      <c r="I121" s="6"/>
      <c r="J121" s="6"/>
      <c r="K121" s="6"/>
      <c r="L121" s="6"/>
    </row>
    <row r="122" spans="1:12" s="5" customFormat="1" hidden="1" x14ac:dyDescent="0.25">
      <c r="B122" s="47" t="s">
        <v>165</v>
      </c>
      <c r="C122" s="94"/>
      <c r="D122" s="36"/>
      <c r="E122" s="36"/>
      <c r="F122" s="36"/>
      <c r="G122" s="29"/>
      <c r="H122" s="29"/>
      <c r="I122" s="6"/>
      <c r="J122" s="6"/>
      <c r="K122" s="6"/>
      <c r="L122" s="6"/>
    </row>
    <row r="123" spans="1:12" s="5" customFormat="1" hidden="1" x14ac:dyDescent="0.25">
      <c r="B123" s="63" t="s">
        <v>62</v>
      </c>
      <c r="C123" s="94"/>
      <c r="D123" s="36"/>
      <c r="E123" s="36"/>
      <c r="F123" s="36"/>
      <c r="G123" s="29"/>
      <c r="H123" s="29"/>
      <c r="I123" s="6"/>
      <c r="J123" s="6"/>
      <c r="K123" s="6"/>
      <c r="L123" s="6"/>
    </row>
    <row r="124" spans="1:12" s="5" customFormat="1" hidden="1" x14ac:dyDescent="0.25">
      <c r="B124" s="47" t="s">
        <v>166</v>
      </c>
      <c r="C124" s="94"/>
      <c r="D124" s="36"/>
      <c r="E124" s="36"/>
      <c r="F124" s="36"/>
      <c r="G124" s="29"/>
      <c r="H124" s="29"/>
      <c r="I124" s="6"/>
      <c r="J124" s="6"/>
      <c r="K124" s="6"/>
      <c r="L124" s="6"/>
    </row>
    <row r="125" spans="1:12" s="5" customFormat="1" hidden="1" x14ac:dyDescent="0.25">
      <c r="B125" s="47" t="s">
        <v>165</v>
      </c>
      <c r="C125" s="94"/>
      <c r="D125" s="36"/>
      <c r="E125" s="36"/>
      <c r="F125" s="36"/>
      <c r="G125" s="29"/>
      <c r="H125" s="29"/>
      <c r="I125" s="6"/>
      <c r="J125" s="6"/>
      <c r="K125" s="6"/>
      <c r="L125" s="6"/>
    </row>
    <row r="126" spans="1:12" s="5" customFormat="1" hidden="1" x14ac:dyDescent="0.25">
      <c r="B126" s="63" t="s">
        <v>8</v>
      </c>
      <c r="C126" s="94"/>
      <c r="D126" s="36"/>
      <c r="E126" s="36"/>
      <c r="F126" s="36"/>
      <c r="G126" s="29"/>
      <c r="H126" s="29"/>
      <c r="I126" s="6"/>
      <c r="J126" s="6"/>
      <c r="K126" s="6"/>
      <c r="L126" s="6"/>
    </row>
    <row r="127" spans="1:12" s="5" customFormat="1" hidden="1" x14ac:dyDescent="0.25">
      <c r="B127" s="47" t="s">
        <v>166</v>
      </c>
      <c r="C127" s="94"/>
      <c r="D127" s="36"/>
      <c r="E127" s="36"/>
      <c r="F127" s="36"/>
      <c r="G127" s="29"/>
      <c r="H127" s="29"/>
      <c r="I127" s="6"/>
      <c r="J127" s="6"/>
      <c r="K127" s="6"/>
      <c r="L127" s="6"/>
    </row>
    <row r="128" spans="1:12" s="5" customFormat="1" hidden="1" x14ac:dyDescent="0.25">
      <c r="B128" s="47" t="s">
        <v>165</v>
      </c>
      <c r="C128" s="94"/>
      <c r="D128" s="36"/>
      <c r="E128" s="36"/>
      <c r="F128" s="36"/>
      <c r="G128" s="29"/>
      <c r="H128" s="29"/>
      <c r="I128" s="6"/>
      <c r="J128" s="6"/>
      <c r="K128" s="6"/>
      <c r="L128" s="6"/>
    </row>
    <row r="129" spans="1:12" hidden="1" x14ac:dyDescent="0.25"/>
    <row r="130" spans="1:12" x14ac:dyDescent="0.25">
      <c r="A130" s="58"/>
      <c r="B130" s="58" t="s">
        <v>25</v>
      </c>
      <c r="C130" s="98"/>
      <c r="D130" s="59"/>
      <c r="E130" s="59"/>
      <c r="F130" s="59"/>
      <c r="G130" s="59"/>
      <c r="H130" s="59"/>
    </row>
    <row r="131" spans="1:12" s="5" customFormat="1" hidden="1" x14ac:dyDescent="0.25">
      <c r="B131" s="47" t="s">
        <v>64</v>
      </c>
      <c r="C131" s="94"/>
      <c r="D131" s="36"/>
      <c r="E131" s="36"/>
      <c r="F131" s="36"/>
      <c r="G131" s="29"/>
      <c r="H131" s="29"/>
      <c r="I131" s="6"/>
      <c r="J131" s="6"/>
      <c r="K131" s="6"/>
      <c r="L131" s="6"/>
    </row>
    <row r="132" spans="1:12" s="5" customFormat="1" hidden="1" x14ac:dyDescent="0.25">
      <c r="B132" s="47" t="s">
        <v>63</v>
      </c>
      <c r="C132" s="94"/>
      <c r="D132" s="36"/>
      <c r="E132" s="36"/>
      <c r="F132" s="36"/>
      <c r="G132" s="29"/>
      <c r="H132" s="29"/>
      <c r="I132" s="6"/>
      <c r="J132" s="6"/>
      <c r="K132" s="6"/>
      <c r="L132" s="6"/>
    </row>
    <row r="133" spans="1:12" s="5" customFormat="1" hidden="1" x14ac:dyDescent="0.25">
      <c r="B133" s="47" t="s">
        <v>65</v>
      </c>
      <c r="C133" s="94"/>
      <c r="D133" s="36"/>
      <c r="E133" s="36"/>
      <c r="F133" s="36"/>
      <c r="G133" s="29"/>
      <c r="H133" s="29"/>
      <c r="I133" s="6"/>
      <c r="J133" s="6"/>
      <c r="K133" s="6"/>
      <c r="L133" s="6"/>
    </row>
    <row r="134" spans="1:12" s="5" customFormat="1" x14ac:dyDescent="0.25">
      <c r="B134" s="5" t="s">
        <v>173</v>
      </c>
      <c r="C134" s="94"/>
      <c r="D134" s="36"/>
      <c r="E134" s="52">
        <f>E135+E136*E137</f>
        <v>0</v>
      </c>
      <c r="F134" s="52">
        <f t="shared" ref="F134:H134" si="34">F135+F136*F137</f>
        <v>154</v>
      </c>
      <c r="G134" s="52">
        <f t="shared" si="34"/>
        <v>0</v>
      </c>
      <c r="H134" s="52">
        <f t="shared" si="34"/>
        <v>0</v>
      </c>
    </row>
    <row r="135" spans="1:12" x14ac:dyDescent="0.25">
      <c r="B135" s="47" t="s">
        <v>220</v>
      </c>
      <c r="E135" s="52"/>
      <c r="F135" s="52">
        <f>'Rates and GI'!D57*1</f>
        <v>150</v>
      </c>
      <c r="G135" s="44"/>
      <c r="H135" s="44"/>
    </row>
    <row r="136" spans="1:12" x14ac:dyDescent="0.25">
      <c r="B136" s="47" t="s">
        <v>178</v>
      </c>
      <c r="E136" s="68">
        <f>'Rates and GI'!$D$59</f>
        <v>0.02</v>
      </c>
      <c r="F136" s="68">
        <f>'Rates and GI'!$D$59</f>
        <v>0.02</v>
      </c>
      <c r="G136" s="68">
        <f>'Rates and GI'!$D$59</f>
        <v>0.02</v>
      </c>
      <c r="H136" s="68">
        <f>'Rates and GI'!$D$59</f>
        <v>0.02</v>
      </c>
    </row>
    <row r="137" spans="1:12" x14ac:dyDescent="0.25">
      <c r="B137" s="47" t="s">
        <v>179</v>
      </c>
      <c r="E137" s="52">
        <v>0</v>
      </c>
      <c r="F137" s="52">
        <v>200</v>
      </c>
      <c r="G137" s="52">
        <v>0</v>
      </c>
      <c r="H137" s="52">
        <v>0</v>
      </c>
    </row>
    <row r="138" spans="1:12" s="5" customFormat="1" x14ac:dyDescent="0.25">
      <c r="B138" s="47"/>
      <c r="C138" s="94"/>
      <c r="D138" s="36"/>
      <c r="E138" s="52"/>
      <c r="F138" s="52"/>
      <c r="G138" s="44"/>
      <c r="H138" s="44"/>
      <c r="I138" s="6"/>
      <c r="J138" s="6"/>
      <c r="K138" s="6"/>
      <c r="L138" s="6"/>
    </row>
    <row r="139" spans="1:12" x14ac:dyDescent="0.25">
      <c r="A139" s="58"/>
      <c r="B139" s="58" t="s">
        <v>21</v>
      </c>
      <c r="C139" s="98"/>
      <c r="D139" s="59"/>
      <c r="E139" s="60">
        <f>E140*E141+E142*E143++E144*E145+E146*E147</f>
        <v>0</v>
      </c>
      <c r="F139" s="60">
        <f t="shared" ref="F139:H139" si="35">F140*F141+F142*F143++F144*F145+F146*F147</f>
        <v>500</v>
      </c>
      <c r="G139" s="60">
        <f t="shared" si="35"/>
        <v>1600</v>
      </c>
      <c r="H139" s="60">
        <f t="shared" si="35"/>
        <v>1500</v>
      </c>
    </row>
    <row r="140" spans="1:12" hidden="1" x14ac:dyDescent="0.25">
      <c r="B140" s="47" t="s">
        <v>169</v>
      </c>
      <c r="E140" s="52"/>
      <c r="F140" s="52"/>
      <c r="G140" s="52">
        <v>0</v>
      </c>
      <c r="H140" s="52"/>
    </row>
    <row r="141" spans="1:12" hidden="1" x14ac:dyDescent="0.25">
      <c r="B141" s="47" t="s">
        <v>170</v>
      </c>
      <c r="E141" s="52">
        <f>'Rates and GI'!$D$69</f>
        <v>5000</v>
      </c>
      <c r="F141" s="52">
        <f>'Rates and GI'!$D$69</f>
        <v>5000</v>
      </c>
      <c r="G141" s="52">
        <f>'Rates and GI'!$D$69</f>
        <v>5000</v>
      </c>
      <c r="H141" s="52">
        <f>'Rates and GI'!$D$69</f>
        <v>5000</v>
      </c>
    </row>
    <row r="142" spans="1:12" hidden="1" x14ac:dyDescent="0.25">
      <c r="B142" s="47" t="s">
        <v>167</v>
      </c>
      <c r="E142" s="52"/>
      <c r="F142" s="52">
        <v>0</v>
      </c>
      <c r="G142" s="52">
        <v>0</v>
      </c>
      <c r="H142" s="52">
        <v>0</v>
      </c>
    </row>
    <row r="143" spans="1:12" hidden="1" x14ac:dyDescent="0.25">
      <c r="B143" s="47" t="s">
        <v>168</v>
      </c>
      <c r="E143" s="52">
        <f>'Rates and GI'!$D$70</f>
        <v>1500</v>
      </c>
      <c r="F143" s="52">
        <f>'Rates and GI'!$D$70</f>
        <v>1500</v>
      </c>
      <c r="G143" s="52">
        <f>'Rates and GI'!$D$70</f>
        <v>1500</v>
      </c>
      <c r="H143" s="52">
        <f>'Rates and GI'!$D$70</f>
        <v>1500</v>
      </c>
    </row>
    <row r="144" spans="1:12" x14ac:dyDescent="0.25">
      <c r="B144" s="71" t="s">
        <v>183</v>
      </c>
      <c r="E144" s="52">
        <v>0</v>
      </c>
      <c r="F144" s="52">
        <v>0</v>
      </c>
      <c r="G144" s="52">
        <v>5</v>
      </c>
      <c r="H144" s="52">
        <v>5</v>
      </c>
    </row>
    <row r="145" spans="1:12" ht="27" x14ac:dyDescent="0.25">
      <c r="B145" s="71" t="s">
        <v>182</v>
      </c>
      <c r="E145" s="52">
        <f>'Rates and GI'!$D$71</f>
        <v>200</v>
      </c>
      <c r="F145" s="52">
        <f>'Rates and GI'!$D$71</f>
        <v>200</v>
      </c>
      <c r="G145" s="52">
        <f>'Rates and GI'!$D$71</f>
        <v>200</v>
      </c>
      <c r="H145" s="52">
        <f>'Rates and GI'!$D$71</f>
        <v>200</v>
      </c>
    </row>
    <row r="146" spans="1:12" s="5" customFormat="1" x14ac:dyDescent="0.25">
      <c r="B146" s="47" t="s">
        <v>354</v>
      </c>
      <c r="C146" s="94"/>
      <c r="D146" s="36"/>
      <c r="E146" s="52">
        <v>0</v>
      </c>
      <c r="F146" s="52">
        <v>10</v>
      </c>
      <c r="G146" s="44">
        <f>10+2</f>
        <v>12</v>
      </c>
      <c r="H146" s="44">
        <v>10</v>
      </c>
      <c r="I146" s="6"/>
      <c r="J146" s="6"/>
      <c r="K146" s="6"/>
      <c r="L146" s="6"/>
    </row>
    <row r="147" spans="1:12" s="5" customFormat="1" x14ac:dyDescent="0.25">
      <c r="B147" s="47" t="s">
        <v>349</v>
      </c>
      <c r="C147" s="94"/>
      <c r="D147" s="36"/>
      <c r="E147" s="52">
        <f>'Rates and GI'!$D$72</f>
        <v>50</v>
      </c>
      <c r="F147" s="52">
        <f>'Rates and GI'!$D$72</f>
        <v>50</v>
      </c>
      <c r="G147" s="44">
        <f>'Rates and GI'!$D$72</f>
        <v>50</v>
      </c>
      <c r="H147" s="44">
        <f>'Rates and GI'!$D$72</f>
        <v>50</v>
      </c>
      <c r="I147" s="6"/>
      <c r="J147" s="6"/>
      <c r="K147" s="6"/>
      <c r="L147" s="6"/>
    </row>
    <row r="148" spans="1:12" x14ac:dyDescent="0.25">
      <c r="A148" s="58"/>
      <c r="B148" s="58"/>
      <c r="C148" s="98"/>
      <c r="D148" s="59"/>
      <c r="E148" s="60"/>
      <c r="F148" s="60"/>
      <c r="G148" s="60"/>
      <c r="H148" s="60"/>
    </row>
    <row r="149" spans="1:12" hidden="1" x14ac:dyDescent="0.25">
      <c r="A149" s="58"/>
      <c r="B149" s="58" t="s">
        <v>218</v>
      </c>
      <c r="C149" s="98"/>
      <c r="D149" s="59"/>
      <c r="E149" s="60">
        <f>E150+E153+E156+E165+E170</f>
        <v>0</v>
      </c>
      <c r="F149" s="60">
        <f t="shared" ref="F149:H149" si="36">F150+F153+F156+F165+F170</f>
        <v>0</v>
      </c>
      <c r="G149" s="60">
        <f t="shared" si="36"/>
        <v>0</v>
      </c>
      <c r="H149" s="60">
        <f t="shared" si="36"/>
        <v>0</v>
      </c>
    </row>
    <row r="150" spans="1:12" s="5" customFormat="1" hidden="1" x14ac:dyDescent="0.25">
      <c r="B150" s="5" t="s">
        <v>197</v>
      </c>
      <c r="C150" s="94"/>
      <c r="D150" s="36"/>
      <c r="E150" s="52">
        <f>E151+E154*E155</f>
        <v>0</v>
      </c>
      <c r="F150" s="52">
        <f>F151+F154*F155</f>
        <v>0</v>
      </c>
      <c r="G150" s="52">
        <f>G151+G154*G155</f>
        <v>0</v>
      </c>
      <c r="H150" s="52">
        <f t="shared" ref="H150" si="37">H151+H154*H155</f>
        <v>0</v>
      </c>
    </row>
    <row r="151" spans="1:12" hidden="1" x14ac:dyDescent="0.25">
      <c r="B151" s="47" t="s">
        <v>208</v>
      </c>
      <c r="E151" s="52"/>
      <c r="F151" s="52">
        <f>('Rates and GI'!$D$56+'Rates and GI'!$D$60)*0</f>
        <v>0</v>
      </c>
      <c r="G151" s="52">
        <f>('Rates and GI'!$D$56+'Rates and GI'!$D$60)*0</f>
        <v>0</v>
      </c>
      <c r="H151" s="52"/>
    </row>
    <row r="152" spans="1:12" hidden="1" x14ac:dyDescent="0.25">
      <c r="B152" s="47" t="s">
        <v>211</v>
      </c>
      <c r="E152" s="52"/>
      <c r="F152" s="52">
        <f>'Rates and GI'!$D$62*0</f>
        <v>0</v>
      </c>
      <c r="G152" s="52">
        <f>'Rates and GI'!$D$62*0</f>
        <v>0</v>
      </c>
      <c r="H152" s="52"/>
    </row>
    <row r="153" spans="1:12" hidden="1" x14ac:dyDescent="0.25">
      <c r="B153" s="5" t="s">
        <v>198</v>
      </c>
      <c r="E153" s="52">
        <f>E154*E155</f>
        <v>0</v>
      </c>
      <c r="F153" s="52">
        <f t="shared" ref="F153:H153" si="38">F154*F155</f>
        <v>0</v>
      </c>
      <c r="G153" s="52">
        <f t="shared" si="38"/>
        <v>0</v>
      </c>
      <c r="H153" s="52">
        <f t="shared" si="38"/>
        <v>0</v>
      </c>
    </row>
    <row r="154" spans="1:12" hidden="1" x14ac:dyDescent="0.25">
      <c r="B154" s="47" t="s">
        <v>186</v>
      </c>
      <c r="E154" s="52"/>
      <c r="F154" s="52">
        <f>'Rates and GI'!$D$65</f>
        <v>24.1465</v>
      </c>
      <c r="G154" s="52">
        <f>'Rates and GI'!$D$65</f>
        <v>24.1465</v>
      </c>
      <c r="H154" s="52">
        <f>'Rates and GI'!$D$65</f>
        <v>24.1465</v>
      </c>
    </row>
    <row r="155" spans="1:12" hidden="1" x14ac:dyDescent="0.25">
      <c r="B155" s="47" t="s">
        <v>185</v>
      </c>
      <c r="E155" s="52"/>
      <c r="F155" s="52">
        <v>0</v>
      </c>
      <c r="G155" s="52">
        <v>0</v>
      </c>
      <c r="H155" s="52">
        <v>0</v>
      </c>
    </row>
    <row r="156" spans="1:12" hidden="1" x14ac:dyDescent="0.25">
      <c r="B156" s="5" t="s">
        <v>199</v>
      </c>
      <c r="E156" s="52">
        <f>E157+E161</f>
        <v>0</v>
      </c>
      <c r="F156" s="52">
        <f t="shared" ref="F156:H156" si="39">F157+F161</f>
        <v>0</v>
      </c>
      <c r="G156" s="52">
        <f t="shared" si="39"/>
        <v>0</v>
      </c>
      <c r="H156" s="52">
        <f t="shared" si="39"/>
        <v>0</v>
      </c>
    </row>
    <row r="157" spans="1:12" hidden="1" x14ac:dyDescent="0.25">
      <c r="B157" s="47" t="s">
        <v>213</v>
      </c>
      <c r="E157" s="52">
        <f>E158*E159</f>
        <v>0</v>
      </c>
      <c r="F157" s="52">
        <f t="shared" ref="F157:H157" si="40">F158*F159</f>
        <v>0</v>
      </c>
      <c r="G157" s="52">
        <f t="shared" si="40"/>
        <v>0</v>
      </c>
      <c r="H157" s="52">
        <f t="shared" si="40"/>
        <v>0</v>
      </c>
    </row>
    <row r="158" spans="1:12" hidden="1" x14ac:dyDescent="0.25">
      <c r="B158" s="47" t="s">
        <v>200</v>
      </c>
      <c r="C158" s="94" t="s">
        <v>201</v>
      </c>
      <c r="E158" s="52">
        <v>0</v>
      </c>
      <c r="F158" s="52">
        <v>0</v>
      </c>
      <c r="G158" s="52">
        <v>0</v>
      </c>
      <c r="H158" s="52">
        <v>0</v>
      </c>
    </row>
    <row r="159" spans="1:12" hidden="1" x14ac:dyDescent="0.25">
      <c r="B159" s="47" t="s">
        <v>202</v>
      </c>
      <c r="E159" s="52">
        <f>'Rates and GI'!$D$63</f>
        <v>150</v>
      </c>
      <c r="F159" s="52">
        <f>'Rates and GI'!$D$63</f>
        <v>150</v>
      </c>
      <c r="G159" s="52">
        <f>'Rates and GI'!$D$63</f>
        <v>150</v>
      </c>
      <c r="H159" s="52">
        <f>'Rates and GI'!$D$63</f>
        <v>150</v>
      </c>
    </row>
    <row r="160" spans="1:12" hidden="1" x14ac:dyDescent="0.25">
      <c r="B160" s="6"/>
      <c r="E160" s="52"/>
      <c r="F160" s="52"/>
      <c r="G160" s="44"/>
      <c r="H160" s="44"/>
    </row>
    <row r="161" spans="1:12" hidden="1" x14ac:dyDescent="0.25">
      <c r="B161" s="47" t="s">
        <v>214</v>
      </c>
      <c r="E161" s="52">
        <f>E162*E163</f>
        <v>0</v>
      </c>
      <c r="F161" s="52">
        <f t="shared" ref="F161:H161" si="41">F162*F163</f>
        <v>0</v>
      </c>
      <c r="G161" s="52">
        <f t="shared" si="41"/>
        <v>0</v>
      </c>
      <c r="H161" s="52">
        <f t="shared" si="41"/>
        <v>0</v>
      </c>
    </row>
    <row r="162" spans="1:12" hidden="1" x14ac:dyDescent="0.25">
      <c r="B162" s="47" t="s">
        <v>200</v>
      </c>
      <c r="C162" s="94" t="s">
        <v>201</v>
      </c>
      <c r="E162" s="52">
        <v>0</v>
      </c>
      <c r="F162" s="52">
        <v>0</v>
      </c>
      <c r="G162" s="52">
        <v>0</v>
      </c>
      <c r="H162" s="52">
        <v>0</v>
      </c>
    </row>
    <row r="163" spans="1:12" hidden="1" x14ac:dyDescent="0.25">
      <c r="B163" s="47" t="s">
        <v>202</v>
      </c>
      <c r="E163" s="52">
        <f>'Rates and GI'!$D$64</f>
        <v>20</v>
      </c>
      <c r="F163" s="52">
        <f>'Rates and GI'!$D$64</f>
        <v>20</v>
      </c>
      <c r="G163" s="52">
        <f>'Rates and GI'!$D$64</f>
        <v>20</v>
      </c>
      <c r="H163" s="52">
        <f>'Rates and GI'!$D$64</f>
        <v>20</v>
      </c>
    </row>
    <row r="164" spans="1:12" hidden="1" x14ac:dyDescent="0.25">
      <c r="B164" s="6"/>
      <c r="E164" s="52"/>
      <c r="F164" s="52"/>
      <c r="G164" s="44"/>
      <c r="H164" s="44"/>
    </row>
    <row r="165" spans="1:12" hidden="1" x14ac:dyDescent="0.25">
      <c r="B165" s="5" t="s">
        <v>203</v>
      </c>
      <c r="E165" s="52">
        <f>E166*E167*E168</f>
        <v>0</v>
      </c>
      <c r="F165" s="52">
        <f t="shared" ref="F165:H165" si="42">F166*F167*F168</f>
        <v>0</v>
      </c>
      <c r="G165" s="52">
        <f t="shared" si="42"/>
        <v>0</v>
      </c>
      <c r="H165" s="52">
        <f t="shared" si="42"/>
        <v>0</v>
      </c>
    </row>
    <row r="166" spans="1:12" hidden="1" x14ac:dyDescent="0.25">
      <c r="B166" s="47" t="s">
        <v>215</v>
      </c>
      <c r="E166" s="52"/>
      <c r="F166" s="52">
        <f>'Rates and GI'!$D$66</f>
        <v>300</v>
      </c>
      <c r="G166" s="52">
        <f>'Rates and GI'!$D$66</f>
        <v>300</v>
      </c>
      <c r="H166" s="52">
        <f>'Rates and GI'!$D$66</f>
        <v>300</v>
      </c>
    </row>
    <row r="167" spans="1:12" hidden="1" x14ac:dyDescent="0.25">
      <c r="B167" s="47" t="s">
        <v>216</v>
      </c>
      <c r="E167" s="52">
        <v>0</v>
      </c>
      <c r="F167" s="52">
        <v>0</v>
      </c>
      <c r="G167" s="52">
        <v>0</v>
      </c>
      <c r="H167" s="52">
        <v>0</v>
      </c>
    </row>
    <row r="168" spans="1:12" hidden="1" x14ac:dyDescent="0.25">
      <c r="B168" s="47" t="s">
        <v>217</v>
      </c>
      <c r="E168" s="52">
        <v>0</v>
      </c>
      <c r="F168" s="52">
        <v>0</v>
      </c>
      <c r="G168" s="52">
        <v>0</v>
      </c>
      <c r="H168" s="52">
        <v>0</v>
      </c>
    </row>
    <row r="169" spans="1:12" hidden="1" x14ac:dyDescent="0.25">
      <c r="E169" s="52"/>
      <c r="F169" s="52"/>
      <c r="G169" s="44"/>
      <c r="H169" s="44"/>
    </row>
    <row r="170" spans="1:12" hidden="1" x14ac:dyDescent="0.25">
      <c r="B170" s="5" t="s">
        <v>196</v>
      </c>
      <c r="E170" s="52">
        <f>E171+E172*E173</f>
        <v>0</v>
      </c>
      <c r="F170" s="52">
        <f>F171+F172*F173</f>
        <v>0</v>
      </c>
      <c r="G170" s="52">
        <f>G171+G172*G173</f>
        <v>0</v>
      </c>
      <c r="H170" s="52">
        <f>H171+H172*H173</f>
        <v>0</v>
      </c>
    </row>
    <row r="171" spans="1:12" hidden="1" x14ac:dyDescent="0.25">
      <c r="B171" s="47" t="s">
        <v>172</v>
      </c>
      <c r="E171" s="52"/>
      <c r="F171" s="52">
        <f>'Rates and GI'!D56*0</f>
        <v>0</v>
      </c>
      <c r="G171" s="44"/>
      <c r="H171" s="44"/>
    </row>
    <row r="172" spans="1:12" hidden="1" x14ac:dyDescent="0.25">
      <c r="B172" s="47" t="s">
        <v>178</v>
      </c>
      <c r="E172" s="52"/>
      <c r="F172" s="75">
        <f>'Rates and GI'!$D$58</f>
        <v>0.05</v>
      </c>
      <c r="G172" s="75">
        <f>'Rates and GI'!$D$58</f>
        <v>0.05</v>
      </c>
      <c r="H172" s="75">
        <f>'Rates and GI'!$D$58</f>
        <v>0.05</v>
      </c>
    </row>
    <row r="173" spans="1:12" hidden="1" x14ac:dyDescent="0.25">
      <c r="B173" s="47" t="s">
        <v>179</v>
      </c>
      <c r="E173" s="52"/>
      <c r="F173" s="52">
        <v>0</v>
      </c>
      <c r="G173" s="44">
        <v>0</v>
      </c>
      <c r="H173" s="44"/>
    </row>
    <row r="174" spans="1:12" hidden="1" x14ac:dyDescent="0.25">
      <c r="E174" s="52"/>
      <c r="F174" s="52"/>
      <c r="G174" s="44"/>
      <c r="H174" s="44"/>
    </row>
    <row r="175" spans="1:12" hidden="1" x14ac:dyDescent="0.25">
      <c r="A175" s="58"/>
      <c r="B175" s="86" t="s">
        <v>261</v>
      </c>
      <c r="C175" s="98"/>
      <c r="D175" s="59"/>
      <c r="E175" s="60"/>
      <c r="F175" s="60"/>
      <c r="G175" s="60"/>
      <c r="H175" s="60"/>
    </row>
    <row r="176" spans="1:12" s="7" customFormat="1" hidden="1" x14ac:dyDescent="0.25">
      <c r="A176" s="10"/>
      <c r="B176" s="45" t="s">
        <v>263</v>
      </c>
      <c r="C176" s="102">
        <f>SUM(E176:H176)</f>
        <v>10</v>
      </c>
      <c r="D176" s="36"/>
      <c r="E176" s="52">
        <v>4</v>
      </c>
      <c r="F176" s="52">
        <v>6</v>
      </c>
      <c r="G176" s="52">
        <v>0</v>
      </c>
      <c r="H176" s="52">
        <v>0</v>
      </c>
      <c r="I176" s="70"/>
      <c r="J176" s="6"/>
      <c r="K176" s="6"/>
      <c r="L176" s="6"/>
    </row>
    <row r="177" spans="1:12" s="7" customFormat="1" hidden="1" x14ac:dyDescent="0.25">
      <c r="A177" s="5"/>
      <c r="B177" s="45" t="s">
        <v>264</v>
      </c>
      <c r="C177" s="52">
        <v>0</v>
      </c>
      <c r="D177" s="36"/>
      <c r="E177" s="52">
        <f>Trips!B105</f>
        <v>0</v>
      </c>
      <c r="F177" s="52">
        <f>E177*(1+index)</f>
        <v>0</v>
      </c>
      <c r="G177" s="52">
        <f>F177*(1+index)</f>
        <v>0</v>
      </c>
      <c r="H177" s="52">
        <f>G177*(1+index)</f>
        <v>0</v>
      </c>
      <c r="I177" s="70"/>
      <c r="J177" s="6"/>
      <c r="K177" s="6"/>
      <c r="L177" s="6"/>
    </row>
    <row r="178" spans="1:12" hidden="1" x14ac:dyDescent="0.25">
      <c r="B178" s="45" t="s">
        <v>265</v>
      </c>
      <c r="E178" s="52">
        <f>$C$177/$C$176*E176</f>
        <v>0</v>
      </c>
      <c r="F178" s="52">
        <f t="shared" ref="F178:H178" si="43">$C$177/$C$176*F176</f>
        <v>0</v>
      </c>
      <c r="G178" s="52">
        <f t="shared" si="43"/>
        <v>0</v>
      </c>
      <c r="H178" s="52">
        <f t="shared" si="43"/>
        <v>0</v>
      </c>
      <c r="I178" s="70"/>
    </row>
    <row r="179" spans="1:12" x14ac:dyDescent="0.25">
      <c r="I179" s="70"/>
    </row>
    <row r="180" spans="1:12" x14ac:dyDescent="0.25">
      <c r="I180" s="70"/>
    </row>
  </sheetData>
  <pageMargins left="0.7" right="0.7" top="0.75" bottom="0.75" header="0.3" footer="0.3"/>
  <pageSetup paperSize="9" scale="53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37"/>
  <sheetViews>
    <sheetView topLeftCell="A16" zoomScaleNormal="100" workbookViewId="0">
      <selection activeCell="B57" sqref="B57"/>
    </sheetView>
  </sheetViews>
  <sheetFormatPr defaultRowHeight="13.5" x14ac:dyDescent="0.25"/>
  <cols>
    <col min="1" max="1" width="5.5703125" style="5" customWidth="1"/>
    <col min="2" max="2" width="79.85546875" style="5" customWidth="1"/>
    <col min="3" max="3" width="14.140625" style="5" customWidth="1"/>
    <col min="4" max="4" width="14.7109375" style="52" customWidth="1"/>
    <col min="5" max="5" width="11.85546875" style="52" bestFit="1" customWidth="1"/>
    <col min="6" max="6" width="10.7109375" style="52" bestFit="1" customWidth="1"/>
    <col min="7" max="7" width="10" style="44" bestFit="1" customWidth="1"/>
    <col min="8" max="8" width="10.28515625" style="44" bestFit="1" customWidth="1"/>
    <col min="9" max="16384" width="9.140625" style="6"/>
  </cols>
  <sheetData>
    <row r="1" spans="1:12" s="140" customFormat="1" ht="51.75" x14ac:dyDescent="0.3">
      <c r="A1" s="227">
        <v>9</v>
      </c>
      <c r="B1" s="228" t="s">
        <v>419</v>
      </c>
      <c r="C1" s="227"/>
      <c r="D1" s="229"/>
      <c r="E1" s="229"/>
      <c r="F1" s="229"/>
      <c r="G1" s="230"/>
      <c r="H1" s="230"/>
    </row>
    <row r="3" spans="1:12" s="15" customFormat="1" x14ac:dyDescent="0.25">
      <c r="A3" s="120"/>
      <c r="B3" s="120" t="s">
        <v>67</v>
      </c>
      <c r="C3" s="120" t="s">
        <v>66</v>
      </c>
      <c r="D3" s="121" t="s">
        <v>28</v>
      </c>
      <c r="E3" s="122">
        <f>start</f>
        <v>43466</v>
      </c>
      <c r="F3" s="122">
        <f>EOMONTH(E3,11)+1</f>
        <v>43831</v>
      </c>
      <c r="G3" s="122">
        <f>EOMONTH(F3,11)+1</f>
        <v>44197</v>
      </c>
      <c r="H3" s="122">
        <f>EOMONTH(G3,11)+1</f>
        <v>44562</v>
      </c>
    </row>
    <row r="4" spans="1:12" x14ac:dyDescent="0.25">
      <c r="A4" s="16"/>
      <c r="B4" s="16" t="s">
        <v>6</v>
      </c>
      <c r="C4" s="16"/>
      <c r="D4" s="61"/>
      <c r="E4" s="61"/>
      <c r="F4" s="61"/>
      <c r="G4" s="62"/>
      <c r="H4" s="62"/>
      <c r="I4" s="12"/>
      <c r="J4" s="12"/>
      <c r="K4" s="12"/>
      <c r="L4" s="12"/>
    </row>
    <row r="5" spans="1:12" x14ac:dyDescent="0.25">
      <c r="B5" s="17" t="s">
        <v>23</v>
      </c>
      <c r="D5" s="52">
        <f t="shared" ref="D5:D6" si="0">SUM(E5:H5)</f>
        <v>2678.7139275750001</v>
      </c>
      <c r="E5" s="52">
        <f>E63</f>
        <v>1113.5250000000001</v>
      </c>
      <c r="F5" s="52">
        <f t="shared" ref="F5:H5" si="1">F63</f>
        <v>1161.406575</v>
      </c>
      <c r="G5" s="52">
        <f t="shared" si="1"/>
        <v>403.78235257499995</v>
      </c>
      <c r="H5" s="52">
        <f t="shared" si="1"/>
        <v>0</v>
      </c>
    </row>
    <row r="6" spans="1:12" x14ac:dyDescent="0.25">
      <c r="B6" s="17" t="s">
        <v>191</v>
      </c>
      <c r="D6" s="52">
        <f t="shared" si="0"/>
        <v>10057.983192180001</v>
      </c>
      <c r="E6" s="52">
        <f>E67</f>
        <v>5721.8700000000008</v>
      </c>
      <c r="F6" s="52">
        <f t="shared" ref="F6:H6" si="2">F67</f>
        <v>2557.67589</v>
      </c>
      <c r="G6" s="52">
        <f t="shared" si="2"/>
        <v>1778.43730218</v>
      </c>
      <c r="H6" s="52">
        <f t="shared" si="2"/>
        <v>0</v>
      </c>
    </row>
    <row r="7" spans="1:12" ht="14.25" thickBot="1" x14ac:dyDescent="0.3">
      <c r="A7" s="13"/>
      <c r="B7" s="13" t="s">
        <v>5</v>
      </c>
      <c r="C7" s="13"/>
      <c r="D7" s="55">
        <f>SUBTOTAL(9,D5:D6)</f>
        <v>12736.697119755001</v>
      </c>
      <c r="E7" s="55">
        <f>SUBTOTAL(9,E5:E6)</f>
        <v>6835.3950000000004</v>
      </c>
      <c r="F7" s="55">
        <f>SUBTOTAL(9,F5:F6)</f>
        <v>3719.082465</v>
      </c>
      <c r="G7" s="55">
        <f>SUBTOTAL(9,G5:G6)</f>
        <v>2182.2196547549997</v>
      </c>
      <c r="H7" s="55">
        <f>SUBTOTAL(9,H5:H6)</f>
        <v>0</v>
      </c>
    </row>
    <row r="8" spans="1:12" ht="6.75" customHeight="1" x14ac:dyDescent="0.25"/>
    <row r="9" spans="1:12" x14ac:dyDescent="0.25">
      <c r="A9" s="16"/>
      <c r="B9" s="16" t="s">
        <v>11</v>
      </c>
      <c r="C9" s="16"/>
      <c r="D9" s="61"/>
      <c r="E9" s="61"/>
      <c r="F9" s="61"/>
      <c r="G9" s="62"/>
      <c r="H9" s="62"/>
      <c r="I9" s="12"/>
      <c r="J9" s="12"/>
      <c r="K9" s="12"/>
      <c r="L9" s="12"/>
    </row>
    <row r="10" spans="1:12" x14ac:dyDescent="0.25">
      <c r="B10" s="17" t="s">
        <v>10</v>
      </c>
      <c r="D10" s="52">
        <f t="shared" ref="D10:D11" si="3">SUM(E10:H10)</f>
        <v>0</v>
      </c>
      <c r="E10" s="52">
        <f>E87</f>
        <v>0</v>
      </c>
      <c r="F10" s="52">
        <f t="shared" ref="F10:H10" si="4">F87</f>
        <v>0</v>
      </c>
      <c r="G10" s="52">
        <f t="shared" si="4"/>
        <v>0</v>
      </c>
      <c r="H10" s="52">
        <f t="shared" si="4"/>
        <v>0</v>
      </c>
    </row>
    <row r="11" spans="1:12" x14ac:dyDescent="0.25">
      <c r="B11" s="17" t="s">
        <v>130</v>
      </c>
      <c r="D11" s="52">
        <f t="shared" si="3"/>
        <v>0</v>
      </c>
      <c r="E11" s="52">
        <v>0</v>
      </c>
      <c r="F11" s="52">
        <v>0</v>
      </c>
      <c r="G11" s="52">
        <v>0</v>
      </c>
      <c r="H11" s="52">
        <v>0</v>
      </c>
    </row>
    <row r="12" spans="1:12" ht="14.25" thickBot="1" x14ac:dyDescent="0.3">
      <c r="A12" s="13"/>
      <c r="B12" s="13" t="s">
        <v>68</v>
      </c>
      <c r="C12" s="13"/>
      <c r="D12" s="55">
        <f>SUBTOTAL(9,D10:D11)</f>
        <v>0</v>
      </c>
      <c r="E12" s="55">
        <f t="shared" ref="E12:H12" si="5">SUBTOTAL(9,E10:E11)</f>
        <v>0</v>
      </c>
      <c r="F12" s="55">
        <f t="shared" si="5"/>
        <v>0</v>
      </c>
      <c r="G12" s="55">
        <f t="shared" si="5"/>
        <v>0</v>
      </c>
      <c r="H12" s="55">
        <f t="shared" si="5"/>
        <v>0</v>
      </c>
    </row>
    <row r="13" spans="1:12" ht="6" customHeight="1" x14ac:dyDescent="0.25"/>
    <row r="14" spans="1:12" x14ac:dyDescent="0.25">
      <c r="A14" s="16"/>
      <c r="B14" s="16" t="s">
        <v>12</v>
      </c>
      <c r="C14" s="16"/>
      <c r="D14" s="61"/>
      <c r="E14" s="61"/>
      <c r="F14" s="61"/>
      <c r="G14" s="62"/>
      <c r="H14" s="62"/>
      <c r="I14" s="12"/>
      <c r="J14" s="12"/>
      <c r="K14" s="12"/>
      <c r="L14" s="12"/>
    </row>
    <row r="15" spans="1:12" x14ac:dyDescent="0.25">
      <c r="B15" s="17" t="s">
        <v>192</v>
      </c>
      <c r="D15" s="52">
        <f t="shared" ref="D15" si="6">SUM(E15:H15)</f>
        <v>3039.108004161104</v>
      </c>
      <c r="E15" s="52">
        <f>E95</f>
        <v>712.48985000000005</v>
      </c>
      <c r="F15" s="52">
        <f t="shared" ref="F15:H15" si="7">F95</f>
        <v>743.12691355000004</v>
      </c>
      <c r="G15" s="52">
        <f t="shared" si="7"/>
        <v>775.08137083265001</v>
      </c>
      <c r="H15" s="52">
        <f t="shared" si="7"/>
        <v>808.40986977845387</v>
      </c>
    </row>
    <row r="16" spans="1:12" x14ac:dyDescent="0.25">
      <c r="B16" s="17" t="s">
        <v>73</v>
      </c>
    </row>
    <row r="17" spans="1:12" ht="14.25" thickBot="1" x14ac:dyDescent="0.3">
      <c r="A17" s="13"/>
      <c r="B17" s="13" t="s">
        <v>76</v>
      </c>
      <c r="C17" s="13"/>
      <c r="D17" s="55">
        <f>SUBTOTAL(9,D15:D16)</f>
        <v>3039.108004161104</v>
      </c>
      <c r="E17" s="55">
        <f t="shared" ref="E17:H17" si="8">SUBTOTAL(9,E15:E16)</f>
        <v>712.48985000000005</v>
      </c>
      <c r="F17" s="55">
        <f t="shared" si="8"/>
        <v>743.12691355000004</v>
      </c>
      <c r="G17" s="55">
        <f t="shared" si="8"/>
        <v>775.08137083265001</v>
      </c>
      <c r="H17" s="55">
        <f t="shared" si="8"/>
        <v>808.40986977845387</v>
      </c>
    </row>
    <row r="18" spans="1:12" ht="6" customHeight="1" x14ac:dyDescent="0.25"/>
    <row r="19" spans="1:12" x14ac:dyDescent="0.25">
      <c r="A19" s="16"/>
      <c r="B19" s="16" t="s">
        <v>156</v>
      </c>
      <c r="C19" s="16"/>
      <c r="D19" s="61"/>
      <c r="E19" s="61"/>
      <c r="F19" s="61"/>
      <c r="G19" s="62"/>
      <c r="H19" s="62"/>
      <c r="I19" s="12"/>
      <c r="J19" s="12"/>
      <c r="K19" s="12"/>
      <c r="L19" s="12"/>
    </row>
    <row r="20" spans="1:12" x14ac:dyDescent="0.25">
      <c r="B20" s="17" t="s">
        <v>148</v>
      </c>
      <c r="D20" s="52">
        <f t="shared" ref="D20" si="9">SUM(E20:H20)</f>
        <v>0</v>
      </c>
      <c r="E20" s="52">
        <f>E99</f>
        <v>0</v>
      </c>
      <c r="F20" s="52">
        <f t="shared" ref="F20:H20" si="10">F99</f>
        <v>0</v>
      </c>
      <c r="G20" s="52">
        <f t="shared" si="10"/>
        <v>0</v>
      </c>
      <c r="H20" s="52">
        <f t="shared" si="10"/>
        <v>0</v>
      </c>
    </row>
    <row r="21" spans="1:12" x14ac:dyDescent="0.25">
      <c r="B21" s="17" t="s">
        <v>157</v>
      </c>
      <c r="D21" s="52">
        <f t="shared" ref="D21" si="11">SUM(E21:H21)</f>
        <v>0</v>
      </c>
    </row>
    <row r="22" spans="1:12" ht="14.25" thickBot="1" x14ac:dyDescent="0.3">
      <c r="A22" s="13"/>
      <c r="B22" s="13" t="s">
        <v>158</v>
      </c>
      <c r="C22" s="13"/>
      <c r="D22" s="55">
        <f>SUBTOTAL(9,D20:D21)</f>
        <v>0</v>
      </c>
      <c r="E22" s="55">
        <f t="shared" ref="E22:H22" si="12">SUBTOTAL(9,E20:E21)</f>
        <v>0</v>
      </c>
      <c r="F22" s="55">
        <f t="shared" si="12"/>
        <v>0</v>
      </c>
      <c r="G22" s="55">
        <f t="shared" si="12"/>
        <v>0</v>
      </c>
      <c r="H22" s="55">
        <f t="shared" si="12"/>
        <v>0</v>
      </c>
    </row>
    <row r="23" spans="1:12" ht="7.5" customHeight="1" x14ac:dyDescent="0.25"/>
    <row r="24" spans="1:12" x14ac:dyDescent="0.25">
      <c r="A24" s="16"/>
      <c r="B24" s="16" t="s">
        <v>74</v>
      </c>
      <c r="C24" s="16"/>
      <c r="D24" s="61"/>
      <c r="E24" s="61"/>
      <c r="F24" s="61"/>
      <c r="G24" s="62"/>
      <c r="H24" s="62"/>
      <c r="I24" s="12"/>
      <c r="J24" s="12"/>
      <c r="K24" s="12"/>
      <c r="L24" s="12"/>
    </row>
    <row r="25" spans="1:12" x14ac:dyDescent="0.25">
      <c r="B25" s="17" t="s">
        <v>24</v>
      </c>
      <c r="D25" s="52">
        <f>SUM(E25:H25)</f>
        <v>570.11375999999996</v>
      </c>
      <c r="E25" s="52">
        <f>E105</f>
        <v>90</v>
      </c>
      <c r="F25" s="52">
        <f t="shared" ref="F25:H25" si="13">F105</f>
        <v>219.02999999999997</v>
      </c>
      <c r="G25" s="52">
        <f t="shared" si="13"/>
        <v>261.08375999999998</v>
      </c>
      <c r="H25" s="52">
        <f t="shared" si="13"/>
        <v>0</v>
      </c>
    </row>
    <row r="26" spans="1:12" x14ac:dyDescent="0.25">
      <c r="B26" s="17" t="s">
        <v>25</v>
      </c>
      <c r="D26" s="52">
        <f t="shared" ref="D26" si="14">SUM(E26:H26)</f>
        <v>0</v>
      </c>
    </row>
    <row r="27" spans="1:12" x14ac:dyDescent="0.25">
      <c r="B27" s="17" t="s">
        <v>432</v>
      </c>
    </row>
    <row r="28" spans="1:12" ht="14.25" thickBot="1" x14ac:dyDescent="0.3">
      <c r="A28" s="13"/>
      <c r="B28" s="13" t="s">
        <v>75</v>
      </c>
      <c r="C28" s="13"/>
      <c r="D28" s="55">
        <f>SUBTOTAL(9,D25:D27)</f>
        <v>570.11375999999996</v>
      </c>
      <c r="E28" s="55">
        <f t="shared" ref="E28:H28" si="15">SUBTOTAL(9,E25:E27)</f>
        <v>90</v>
      </c>
      <c r="F28" s="55">
        <f t="shared" si="15"/>
        <v>219.02999999999997</v>
      </c>
      <c r="G28" s="55">
        <f t="shared" si="15"/>
        <v>261.08375999999998</v>
      </c>
      <c r="H28" s="55">
        <f t="shared" si="15"/>
        <v>0</v>
      </c>
    </row>
    <row r="29" spans="1:12" ht="6.75" customHeight="1" x14ac:dyDescent="0.25"/>
    <row r="30" spans="1:12" x14ac:dyDescent="0.25">
      <c r="A30" s="16"/>
      <c r="B30" s="16" t="s">
        <v>7</v>
      </c>
      <c r="C30" s="16"/>
      <c r="D30" s="61"/>
      <c r="E30" s="61"/>
      <c r="F30" s="61"/>
      <c r="G30" s="62"/>
      <c r="H30" s="62"/>
      <c r="I30" s="12"/>
      <c r="J30" s="12"/>
      <c r="K30" s="12"/>
      <c r="L30" s="12"/>
    </row>
    <row r="31" spans="1:12" x14ac:dyDescent="0.25">
      <c r="B31" s="17" t="s">
        <v>58</v>
      </c>
      <c r="D31" s="52">
        <f t="shared" ref="D31:D34" si="16">SUM(E31:H31)</f>
        <v>0</v>
      </c>
    </row>
    <row r="32" spans="1:12" x14ac:dyDescent="0.25">
      <c r="B32" s="17" t="s">
        <v>26</v>
      </c>
      <c r="D32" s="52">
        <f t="shared" si="16"/>
        <v>0</v>
      </c>
    </row>
    <row r="33" spans="1:12" x14ac:dyDescent="0.25">
      <c r="B33" s="17" t="s">
        <v>8</v>
      </c>
      <c r="D33" s="52">
        <f t="shared" si="16"/>
        <v>0</v>
      </c>
    </row>
    <row r="34" spans="1:12" x14ac:dyDescent="0.25">
      <c r="B34" s="17" t="s">
        <v>9</v>
      </c>
      <c r="D34" s="52">
        <f t="shared" si="16"/>
        <v>0</v>
      </c>
    </row>
    <row r="35" spans="1:12" ht="14.25" thickBot="1" x14ac:dyDescent="0.3">
      <c r="A35" s="13"/>
      <c r="B35" s="13" t="s">
        <v>69</v>
      </c>
      <c r="C35" s="13"/>
      <c r="D35" s="55">
        <f>SUBTOTAL(9,D31:D34)</f>
        <v>0</v>
      </c>
      <c r="E35" s="55">
        <f t="shared" ref="E35:H35" si="17">SUBTOTAL(9,E31:E34)</f>
        <v>0</v>
      </c>
      <c r="F35" s="55">
        <f t="shared" si="17"/>
        <v>0</v>
      </c>
      <c r="G35" s="55">
        <f t="shared" si="17"/>
        <v>0</v>
      </c>
      <c r="H35" s="55">
        <f t="shared" si="17"/>
        <v>0</v>
      </c>
    </row>
    <row r="36" spans="1:12" ht="6" customHeight="1" x14ac:dyDescent="0.25"/>
    <row r="37" spans="1:12" x14ac:dyDescent="0.25">
      <c r="A37" s="16"/>
      <c r="B37" s="16" t="s">
        <v>16</v>
      </c>
      <c r="C37" s="16"/>
      <c r="D37" s="61"/>
      <c r="E37" s="61"/>
      <c r="F37" s="61"/>
      <c r="G37" s="62"/>
      <c r="H37" s="62"/>
      <c r="I37" s="12"/>
      <c r="J37" s="12"/>
      <c r="K37" s="12"/>
      <c r="L37" s="12"/>
    </row>
    <row r="38" spans="1:12" x14ac:dyDescent="0.25">
      <c r="A38" s="2"/>
      <c r="B38" s="2" t="s">
        <v>17</v>
      </c>
      <c r="C38" s="2"/>
      <c r="D38" s="52">
        <f t="shared" ref="D38:D42" si="18">SUM(E38:H38)</f>
        <v>0</v>
      </c>
    </row>
    <row r="39" spans="1:12" x14ac:dyDescent="0.25">
      <c r="A39" s="2"/>
      <c r="B39" s="2" t="s">
        <v>18</v>
      </c>
      <c r="C39" s="2"/>
      <c r="D39" s="52">
        <f t="shared" si="18"/>
        <v>0</v>
      </c>
    </row>
    <row r="40" spans="1:12" x14ac:dyDescent="0.25">
      <c r="A40" s="2"/>
      <c r="B40" s="2" t="s">
        <v>19</v>
      </c>
      <c r="C40" s="2"/>
      <c r="D40" s="52">
        <f t="shared" si="18"/>
        <v>0</v>
      </c>
    </row>
    <row r="41" spans="1:12" x14ac:dyDescent="0.25">
      <c r="A41" s="3"/>
      <c r="B41" s="3" t="s">
        <v>13</v>
      </c>
      <c r="C41" s="3"/>
      <c r="D41" s="52">
        <f t="shared" si="18"/>
        <v>0</v>
      </c>
    </row>
    <row r="42" spans="1:12" x14ac:dyDescent="0.25">
      <c r="A42" s="3"/>
      <c r="B42" s="3" t="s">
        <v>22</v>
      </c>
      <c r="C42" s="3"/>
      <c r="D42" s="52">
        <f t="shared" si="18"/>
        <v>0</v>
      </c>
    </row>
    <row r="43" spans="1:12" ht="14.25" thickBot="1" x14ac:dyDescent="0.3">
      <c r="A43" s="13"/>
      <c r="B43" s="13" t="s">
        <v>70</v>
      </c>
      <c r="C43" s="13"/>
      <c r="D43" s="55">
        <f>SUBTOTAL(9,D38:D42)</f>
        <v>0</v>
      </c>
      <c r="E43" s="55">
        <f t="shared" ref="E43:H43" si="19">SUBTOTAL(9,E38:E42)</f>
        <v>0</v>
      </c>
      <c r="F43" s="55">
        <f t="shared" si="19"/>
        <v>0</v>
      </c>
      <c r="G43" s="55">
        <f t="shared" si="19"/>
        <v>0</v>
      </c>
      <c r="H43" s="55">
        <f t="shared" si="19"/>
        <v>0</v>
      </c>
    </row>
    <row r="44" spans="1:12" ht="4.5" customHeight="1" x14ac:dyDescent="0.25">
      <c r="A44" s="3"/>
      <c r="B44" s="6"/>
      <c r="C44" s="3"/>
    </row>
    <row r="45" spans="1:12" x14ac:dyDescent="0.25">
      <c r="A45" s="16"/>
      <c r="B45" s="16" t="s">
        <v>20</v>
      </c>
      <c r="C45" s="16"/>
      <c r="D45" s="61"/>
      <c r="E45" s="61"/>
      <c r="F45" s="61"/>
      <c r="G45" s="62"/>
      <c r="H45" s="62"/>
      <c r="I45" s="12"/>
      <c r="J45" s="12"/>
      <c r="K45" s="12"/>
      <c r="L45" s="12"/>
    </row>
    <row r="46" spans="1:12" x14ac:dyDescent="0.25">
      <c r="A46" s="3"/>
      <c r="B46" s="3" t="s">
        <v>218</v>
      </c>
      <c r="C46" s="96"/>
      <c r="D46" s="52">
        <f t="shared" ref="D46" si="20">SUM(E46:H46)</f>
        <v>0</v>
      </c>
      <c r="E46" s="52">
        <f>E133</f>
        <v>0</v>
      </c>
      <c r="F46" s="52">
        <f t="shared" ref="F46:H46" si="21">F133</f>
        <v>0</v>
      </c>
      <c r="G46" s="52">
        <f t="shared" si="21"/>
        <v>0</v>
      </c>
      <c r="H46" s="52">
        <f t="shared" si="21"/>
        <v>0</v>
      </c>
    </row>
    <row r="47" spans="1:12" x14ac:dyDescent="0.25">
      <c r="A47" s="3"/>
      <c r="B47" s="3" t="s">
        <v>21</v>
      </c>
      <c r="C47" s="3"/>
      <c r="D47" s="52">
        <f t="shared" ref="D47" si="22">SUM(E47:H47)</f>
        <v>400</v>
      </c>
      <c r="E47" s="52">
        <f>E130</f>
        <v>50</v>
      </c>
      <c r="F47" s="52">
        <f t="shared" ref="F47:H47" si="23">F130</f>
        <v>100</v>
      </c>
      <c r="G47" s="52">
        <f t="shared" si="23"/>
        <v>250</v>
      </c>
      <c r="H47" s="52">
        <f t="shared" si="23"/>
        <v>0</v>
      </c>
    </row>
    <row r="48" spans="1:12" ht="14.25" thickBot="1" x14ac:dyDescent="0.3">
      <c r="A48" s="13"/>
      <c r="B48" s="13" t="s">
        <v>71</v>
      </c>
      <c r="C48" s="13"/>
      <c r="D48" s="55">
        <f>SUBTOTAL(9,D46:D47)</f>
        <v>400</v>
      </c>
      <c r="E48" s="55">
        <f>SUBTOTAL(9,E46:E47)</f>
        <v>50</v>
      </c>
      <c r="F48" s="55">
        <f>SUBTOTAL(9,F46:F47)</f>
        <v>100</v>
      </c>
      <c r="G48" s="55">
        <f>SUBTOTAL(9,G46:G47)</f>
        <v>250</v>
      </c>
      <c r="H48" s="55">
        <f>SUBTOTAL(9,H46:H47)</f>
        <v>0</v>
      </c>
    </row>
    <row r="49" spans="1:8" ht="6" customHeight="1" x14ac:dyDescent="0.25">
      <c r="A49" s="1"/>
      <c r="B49" s="1"/>
      <c r="C49" s="1"/>
    </row>
    <row r="50" spans="1:8" ht="14.25" thickBot="1" x14ac:dyDescent="0.3">
      <c r="A50" s="56"/>
      <c r="B50" s="56" t="s">
        <v>160</v>
      </c>
      <c r="C50" s="56"/>
      <c r="D50" s="57">
        <f>SUBTOTAL(9,D5:D48)</f>
        <v>16745.918883916107</v>
      </c>
      <c r="E50" s="57">
        <f>SUBTOTAL(9,E5:E48)</f>
        <v>7687.8848500000004</v>
      </c>
      <c r="F50" s="57">
        <f>SUBTOTAL(9,F5:F48)</f>
        <v>4781.2393785499999</v>
      </c>
      <c r="G50" s="57">
        <f>SUBTOTAL(9,G5:G48)</f>
        <v>3468.3847855876497</v>
      </c>
      <c r="H50" s="57">
        <f>SUBTOTAL(9,H5:H48)</f>
        <v>808.40986977845387</v>
      </c>
    </row>
    <row r="51" spans="1:8" ht="14.25" thickBot="1" x14ac:dyDescent="0.3">
      <c r="A51" s="1"/>
      <c r="B51" s="1"/>
      <c r="C51" s="1"/>
    </row>
    <row r="52" spans="1:8" ht="18" thickTop="1" x14ac:dyDescent="0.3">
      <c r="A52" s="224"/>
      <c r="B52" s="225" t="s">
        <v>27</v>
      </c>
      <c r="C52" s="225"/>
      <c r="D52" s="226"/>
      <c r="E52" s="226"/>
      <c r="F52" s="226"/>
      <c r="G52" s="226"/>
      <c r="H52" s="226"/>
    </row>
    <row r="53" spans="1:8" ht="6.75" customHeight="1" x14ac:dyDescent="0.25">
      <c r="A53" s="1"/>
      <c r="B53" s="1"/>
      <c r="C53" s="1"/>
    </row>
    <row r="54" spans="1:8" s="15" customFormat="1" x14ac:dyDescent="0.25">
      <c r="A54" s="120"/>
      <c r="B54" s="120" t="s">
        <v>67</v>
      </c>
      <c r="C54" s="120" t="s">
        <v>66</v>
      </c>
      <c r="D54" s="121"/>
      <c r="E54" s="122">
        <f>start</f>
        <v>43466</v>
      </c>
      <c r="F54" s="122">
        <f>EOMONTH(E54,11)+1</f>
        <v>43831</v>
      </c>
      <c r="G54" s="122">
        <f>EOMONTH(F54,11)+1</f>
        <v>44197</v>
      </c>
      <c r="H54" s="122">
        <f>EOMONTH(G54,11)+1</f>
        <v>44562</v>
      </c>
    </row>
    <row r="55" spans="1:8" ht="6.75" customHeight="1" x14ac:dyDescent="0.25"/>
    <row r="56" spans="1:8" hidden="1" x14ac:dyDescent="0.25">
      <c r="A56" s="58"/>
      <c r="B56" s="58" t="s">
        <v>0</v>
      </c>
      <c r="C56" s="58"/>
      <c r="D56" s="60"/>
      <c r="E56" s="60"/>
      <c r="F56" s="60"/>
      <c r="G56" s="60"/>
      <c r="H56" s="60"/>
    </row>
    <row r="57" spans="1:8" hidden="1" x14ac:dyDescent="0.25">
      <c r="B57" s="5" t="s">
        <v>2</v>
      </c>
      <c r="E57" s="52">
        <f>E58*E59*E60*E61</f>
        <v>0</v>
      </c>
      <c r="F57" s="53"/>
      <c r="G57" s="43"/>
      <c r="H57" s="43"/>
    </row>
    <row r="58" spans="1:8" hidden="1" x14ac:dyDescent="0.25">
      <c r="A58" s="9"/>
      <c r="B58" s="9" t="s">
        <v>37</v>
      </c>
      <c r="C58" s="9"/>
      <c r="E58" s="52">
        <v>0</v>
      </c>
    </row>
    <row r="59" spans="1:8" hidden="1" x14ac:dyDescent="0.25">
      <c r="A59" s="9"/>
      <c r="B59" s="9" t="s">
        <v>38</v>
      </c>
      <c r="C59" s="9"/>
      <c r="D59" s="53"/>
      <c r="E59" s="53">
        <v>0</v>
      </c>
    </row>
    <row r="60" spans="1:8" hidden="1" x14ac:dyDescent="0.25">
      <c r="A60" s="9"/>
      <c r="B60" s="9" t="s">
        <v>39</v>
      </c>
      <c r="C60" s="9"/>
      <c r="E60" s="52">
        <v>0</v>
      </c>
    </row>
    <row r="61" spans="1:8" hidden="1" x14ac:dyDescent="0.25">
      <c r="A61" s="9"/>
      <c r="B61" s="9" t="s">
        <v>40</v>
      </c>
      <c r="C61" s="9"/>
      <c r="E61" s="54">
        <v>0</v>
      </c>
    </row>
    <row r="62" spans="1:8" hidden="1" x14ac:dyDescent="0.25">
      <c r="A62" s="9"/>
      <c r="B62" s="9"/>
      <c r="C62" s="9"/>
    </row>
    <row r="63" spans="1:8" x14ac:dyDescent="0.25">
      <c r="B63" s="5" t="s">
        <v>23</v>
      </c>
      <c r="E63" s="52">
        <f>E64*E65</f>
        <v>1113.5250000000001</v>
      </c>
      <c r="F63" s="52">
        <f t="shared" ref="F63:H63" si="24">F64*F65</f>
        <v>1161.406575</v>
      </c>
      <c r="G63" s="52">
        <f t="shared" si="24"/>
        <v>403.78235257499995</v>
      </c>
      <c r="H63" s="52">
        <f t="shared" si="24"/>
        <v>0</v>
      </c>
    </row>
    <row r="64" spans="1:8" x14ac:dyDescent="0.25">
      <c r="A64" s="9"/>
      <c r="B64" s="9" t="s">
        <v>129</v>
      </c>
      <c r="C64" s="9" t="s">
        <v>128</v>
      </c>
      <c r="E64" s="52">
        <v>63</v>
      </c>
      <c r="F64" s="52">
        <v>63</v>
      </c>
      <c r="G64" s="52">
        <v>21</v>
      </c>
      <c r="H64" s="52">
        <v>0</v>
      </c>
    </row>
    <row r="65" spans="1:12" x14ac:dyDescent="0.25">
      <c r="A65" s="9"/>
      <c r="B65" s="9" t="s">
        <v>41</v>
      </c>
      <c r="C65" s="9"/>
      <c r="E65" s="52">
        <f>'Rates and GI'!D12</f>
        <v>17.675000000000001</v>
      </c>
      <c r="F65" s="52">
        <f>E65*(1+index)</f>
        <v>18.435025</v>
      </c>
      <c r="G65" s="52">
        <f>F65*(1+index)</f>
        <v>19.227731074999998</v>
      </c>
      <c r="H65" s="52">
        <f>G65*(1+index)</f>
        <v>20.054523511224996</v>
      </c>
    </row>
    <row r="67" spans="1:12" s="7" customFormat="1" x14ac:dyDescent="0.25">
      <c r="A67" s="5"/>
      <c r="B67" s="5" t="s">
        <v>191</v>
      </c>
      <c r="C67" s="5"/>
      <c r="D67" s="52"/>
      <c r="E67" s="52">
        <f>E68*E69</f>
        <v>5721.8700000000008</v>
      </c>
      <c r="F67" s="52">
        <f t="shared" ref="F67:H67" si="25">F68*F69</f>
        <v>2557.67589</v>
      </c>
      <c r="G67" s="52">
        <f t="shared" si="25"/>
        <v>1778.43730218</v>
      </c>
      <c r="H67" s="52">
        <f t="shared" si="25"/>
        <v>0</v>
      </c>
      <c r="I67" s="6"/>
      <c r="J67" s="6"/>
      <c r="K67" s="6"/>
      <c r="L67" s="6"/>
    </row>
    <row r="68" spans="1:12" s="7" customFormat="1" x14ac:dyDescent="0.25">
      <c r="A68" s="9"/>
      <c r="B68" s="9" t="s">
        <v>193</v>
      </c>
      <c r="C68" s="9" t="s">
        <v>128</v>
      </c>
      <c r="D68" s="52"/>
      <c r="E68" s="52">
        <v>35</v>
      </c>
      <c r="F68" s="52">
        <v>15</v>
      </c>
      <c r="G68" s="44">
        <v>10</v>
      </c>
      <c r="H68" s="44">
        <v>0</v>
      </c>
      <c r="I68" s="6"/>
      <c r="J68" s="6"/>
      <c r="K68" s="6"/>
      <c r="L68" s="6"/>
    </row>
    <row r="69" spans="1:12" s="7" customFormat="1" x14ac:dyDescent="0.25">
      <c r="A69" s="9"/>
      <c r="B69" s="9" t="s">
        <v>41</v>
      </c>
      <c r="C69" s="9"/>
      <c r="D69" s="52"/>
      <c r="E69" s="52">
        <f>'Rates and GI'!D13</f>
        <v>163.48200000000003</v>
      </c>
      <c r="F69" s="52">
        <f>E69*(1+index)</f>
        <v>170.51172600000001</v>
      </c>
      <c r="G69" s="52">
        <f>F69*(1+index)</f>
        <v>177.84373021799999</v>
      </c>
      <c r="H69" s="52">
        <f>G69*(1+index)</f>
        <v>185.49101061737397</v>
      </c>
      <c r="I69" s="6"/>
      <c r="J69" s="6"/>
      <c r="K69" s="6"/>
      <c r="L69" s="6"/>
    </row>
    <row r="70" spans="1:12" hidden="1" x14ac:dyDescent="0.25"/>
    <row r="71" spans="1:12" s="7" customFormat="1" hidden="1" x14ac:dyDescent="0.25">
      <c r="A71" s="5"/>
      <c r="B71" s="5" t="s">
        <v>1</v>
      </c>
      <c r="C71" s="5"/>
      <c r="D71" s="52"/>
      <c r="E71" s="52"/>
      <c r="F71" s="52"/>
      <c r="G71" s="44"/>
      <c r="H71" s="44"/>
      <c r="I71" s="6"/>
      <c r="J71" s="6"/>
      <c r="K71" s="6"/>
      <c r="L71" s="6"/>
    </row>
    <row r="72" spans="1:12" s="7" customFormat="1" hidden="1" x14ac:dyDescent="0.25">
      <c r="A72" s="9"/>
      <c r="B72" s="9" t="s">
        <v>42</v>
      </c>
      <c r="C72" s="9"/>
      <c r="D72" s="52"/>
      <c r="E72" s="52">
        <v>0</v>
      </c>
      <c r="F72" s="52"/>
      <c r="G72" s="44"/>
      <c r="H72" s="44"/>
      <c r="I72" s="6"/>
      <c r="J72" s="6"/>
      <c r="K72" s="6"/>
      <c r="L72" s="6"/>
    </row>
    <row r="73" spans="1:12" s="7" customFormat="1" hidden="1" x14ac:dyDescent="0.25">
      <c r="A73" s="9"/>
      <c r="B73" s="9" t="s">
        <v>43</v>
      </c>
      <c r="C73" s="9"/>
      <c r="D73" s="52"/>
      <c r="E73" s="52">
        <v>0</v>
      </c>
      <c r="F73" s="52"/>
      <c r="G73" s="44"/>
      <c r="H73" s="44"/>
      <c r="I73" s="6"/>
      <c r="J73" s="6"/>
      <c r="K73" s="6"/>
      <c r="L73" s="6"/>
    </row>
    <row r="74" spans="1:12" s="7" customFormat="1" hidden="1" x14ac:dyDescent="0.25">
      <c r="A74" s="9"/>
      <c r="B74" s="9" t="s">
        <v>44</v>
      </c>
      <c r="C74" s="9"/>
      <c r="D74" s="52"/>
      <c r="E74" s="52">
        <v>0</v>
      </c>
      <c r="F74" s="52"/>
      <c r="G74" s="44"/>
      <c r="H74" s="44"/>
      <c r="I74" s="6"/>
      <c r="J74" s="6"/>
      <c r="K74" s="6"/>
      <c r="L74" s="6"/>
    </row>
    <row r="75" spans="1:12" s="7" customFormat="1" hidden="1" x14ac:dyDescent="0.25">
      <c r="A75" s="9"/>
      <c r="B75" s="9" t="s">
        <v>45</v>
      </c>
      <c r="C75" s="9"/>
      <c r="D75" s="52"/>
      <c r="E75" s="52">
        <v>0</v>
      </c>
      <c r="F75" s="52"/>
      <c r="G75" s="44"/>
      <c r="H75" s="44"/>
      <c r="I75" s="6"/>
      <c r="J75" s="6"/>
      <c r="K75" s="6"/>
      <c r="L75" s="6"/>
    </row>
    <row r="76" spans="1:12" hidden="1" x14ac:dyDescent="0.25"/>
    <row r="77" spans="1:12" s="7" customFormat="1" hidden="1" x14ac:dyDescent="0.25">
      <c r="A77" s="5"/>
      <c r="B77" s="5" t="s">
        <v>3</v>
      </c>
      <c r="C77" s="5"/>
      <c r="D77" s="52"/>
      <c r="E77" s="52"/>
      <c r="F77" s="52"/>
      <c r="G77" s="44"/>
      <c r="H77" s="44"/>
      <c r="I77" s="6"/>
      <c r="J77" s="6"/>
      <c r="K77" s="6"/>
      <c r="L77" s="6"/>
    </row>
    <row r="78" spans="1:12" s="7" customFormat="1" hidden="1" x14ac:dyDescent="0.25">
      <c r="A78" s="9"/>
      <c r="B78" s="9" t="s">
        <v>46</v>
      </c>
      <c r="C78" s="9"/>
      <c r="D78" s="52"/>
      <c r="E78" s="52">
        <v>0</v>
      </c>
      <c r="F78" s="52"/>
      <c r="G78" s="44"/>
      <c r="H78" s="44"/>
      <c r="I78" s="6"/>
      <c r="J78" s="6"/>
      <c r="K78" s="6"/>
      <c r="L78" s="6"/>
    </row>
    <row r="79" spans="1:12" s="7" customFormat="1" hidden="1" x14ac:dyDescent="0.25">
      <c r="A79" s="9"/>
      <c r="B79" s="9" t="s">
        <v>47</v>
      </c>
      <c r="C79" s="9"/>
      <c r="D79" s="52"/>
      <c r="E79" s="52">
        <v>0</v>
      </c>
      <c r="F79" s="52"/>
      <c r="G79" s="44"/>
      <c r="H79" s="44"/>
      <c r="I79" s="6"/>
      <c r="J79" s="6"/>
      <c r="K79" s="6"/>
      <c r="L79" s="6"/>
    </row>
    <row r="80" spans="1:12" hidden="1" x14ac:dyDescent="0.25"/>
    <row r="81" spans="1:12" s="7" customFormat="1" hidden="1" x14ac:dyDescent="0.25">
      <c r="A81" s="5"/>
      <c r="B81" s="5" t="s">
        <v>4</v>
      </c>
      <c r="C81" s="5"/>
      <c r="D81" s="52"/>
      <c r="E81" s="52"/>
      <c r="F81" s="52"/>
      <c r="G81" s="44"/>
      <c r="H81" s="44"/>
      <c r="I81" s="6"/>
      <c r="J81" s="6"/>
      <c r="K81" s="6"/>
      <c r="L81" s="6"/>
    </row>
    <row r="82" spans="1:12" s="7" customFormat="1" hidden="1" x14ac:dyDescent="0.25">
      <c r="A82" s="9"/>
      <c r="B82" s="9" t="s">
        <v>48</v>
      </c>
      <c r="C82" s="9"/>
      <c r="D82" s="52"/>
      <c r="E82" s="52">
        <v>0</v>
      </c>
      <c r="F82" s="52"/>
      <c r="G82" s="44"/>
      <c r="H82" s="44"/>
      <c r="I82" s="6"/>
      <c r="J82" s="6"/>
      <c r="K82" s="6"/>
      <c r="L82" s="6"/>
    </row>
    <row r="83" spans="1:12" s="7" customFormat="1" hidden="1" x14ac:dyDescent="0.25">
      <c r="A83" s="9"/>
      <c r="B83" s="9" t="s">
        <v>49</v>
      </c>
      <c r="C83" s="9"/>
      <c r="D83" s="52"/>
      <c r="E83" s="52">
        <v>0</v>
      </c>
      <c r="F83" s="52"/>
      <c r="G83" s="44"/>
      <c r="H83" s="44"/>
      <c r="I83" s="6"/>
      <c r="J83" s="6"/>
      <c r="K83" s="6"/>
      <c r="L83" s="6"/>
    </row>
    <row r="84" spans="1:12" hidden="1" x14ac:dyDescent="0.25"/>
    <row r="85" spans="1:12" s="7" customFormat="1" hidden="1" x14ac:dyDescent="0.25">
      <c r="A85" s="9"/>
      <c r="B85" s="9" t="s">
        <v>40</v>
      </c>
      <c r="C85" s="9"/>
      <c r="D85" s="52"/>
      <c r="E85" s="54"/>
      <c r="F85" s="52"/>
      <c r="G85" s="44"/>
      <c r="H85" s="44"/>
      <c r="I85" s="6"/>
      <c r="J85" s="6"/>
      <c r="K85" s="6"/>
      <c r="L85" s="6"/>
    </row>
    <row r="87" spans="1:12" hidden="1" x14ac:dyDescent="0.25">
      <c r="A87" s="58"/>
      <c r="B87" s="58" t="s">
        <v>10</v>
      </c>
      <c r="C87" s="58"/>
      <c r="D87" s="60"/>
      <c r="E87" s="60">
        <f>E88*E89+E91*E92</f>
        <v>0</v>
      </c>
      <c r="F87" s="60">
        <f t="shared" ref="F87:H87" si="26">F88*F89+F91*F92</f>
        <v>0</v>
      </c>
      <c r="G87" s="60">
        <f t="shared" si="26"/>
        <v>0</v>
      </c>
      <c r="H87" s="60">
        <f t="shared" si="26"/>
        <v>0</v>
      </c>
    </row>
    <row r="88" spans="1:12" s="7" customFormat="1" hidden="1" x14ac:dyDescent="0.25">
      <c r="A88" s="5"/>
      <c r="B88" s="9" t="s">
        <v>50</v>
      </c>
      <c r="C88" s="5"/>
      <c r="D88" s="52"/>
      <c r="E88" s="52">
        <v>0</v>
      </c>
      <c r="F88" s="52">
        <v>0</v>
      </c>
      <c r="G88" s="52">
        <v>0</v>
      </c>
      <c r="H88" s="52">
        <v>0</v>
      </c>
      <c r="I88" s="6"/>
      <c r="J88" s="6"/>
      <c r="K88" s="6"/>
      <c r="L88" s="6"/>
    </row>
    <row r="89" spans="1:12" s="7" customFormat="1" hidden="1" x14ac:dyDescent="0.25">
      <c r="A89" s="5"/>
      <c r="B89" s="9" t="s">
        <v>51</v>
      </c>
      <c r="C89" s="5"/>
      <c r="D89" s="52"/>
      <c r="E89" s="52">
        <f>Trips!$B$10</f>
        <v>911.66111833333343</v>
      </c>
      <c r="F89" s="52">
        <f>Trips!$B$10</f>
        <v>911.66111833333343</v>
      </c>
      <c r="G89" s="52">
        <f>Trips!$B$10</f>
        <v>911.66111833333343</v>
      </c>
      <c r="H89" s="52">
        <f>Trips!$B$10</f>
        <v>911.66111833333343</v>
      </c>
      <c r="I89" s="6"/>
      <c r="J89" s="6"/>
      <c r="K89" s="6"/>
      <c r="L89" s="6"/>
    </row>
    <row r="90" spans="1:12" hidden="1" x14ac:dyDescent="0.25"/>
    <row r="91" spans="1:12" s="7" customFormat="1" hidden="1" x14ac:dyDescent="0.25">
      <c r="A91" s="5"/>
      <c r="B91" s="9" t="s">
        <v>52</v>
      </c>
      <c r="C91" s="5"/>
      <c r="D91" s="52"/>
      <c r="E91" s="52">
        <v>0</v>
      </c>
      <c r="F91" s="52">
        <v>0</v>
      </c>
      <c r="G91" s="44">
        <v>0</v>
      </c>
      <c r="H91" s="44">
        <v>0</v>
      </c>
      <c r="I91" s="6"/>
      <c r="J91" s="6"/>
      <c r="K91" s="6"/>
      <c r="L91" s="6"/>
    </row>
    <row r="92" spans="1:12" s="7" customFormat="1" hidden="1" x14ac:dyDescent="0.25">
      <c r="A92" s="5"/>
      <c r="B92" s="9" t="s">
        <v>53</v>
      </c>
      <c r="C92" s="5"/>
      <c r="D92" s="52"/>
      <c r="E92" s="52">
        <f>Trips!$B$5</f>
        <v>52</v>
      </c>
      <c r="F92" s="52">
        <f>Trips!$B$5</f>
        <v>52</v>
      </c>
      <c r="G92" s="52">
        <f>Trips!$B$5</f>
        <v>52</v>
      </c>
      <c r="H92" s="52">
        <f>Trips!$B$5</f>
        <v>52</v>
      </c>
      <c r="I92" s="6"/>
      <c r="J92" s="6"/>
      <c r="K92" s="6"/>
      <c r="L92" s="6"/>
    </row>
    <row r="93" spans="1:12" hidden="1" x14ac:dyDescent="0.25"/>
    <row r="94" spans="1:12" hidden="1" x14ac:dyDescent="0.25"/>
    <row r="95" spans="1:12" x14ac:dyDescent="0.25">
      <c r="A95" s="58"/>
      <c r="B95" s="58" t="s">
        <v>194</v>
      </c>
      <c r="C95" s="58"/>
      <c r="D95" s="60"/>
      <c r="E95" s="60">
        <f>E96*E97</f>
        <v>712.48985000000005</v>
      </c>
      <c r="F95" s="60">
        <f t="shared" ref="F95:H95" si="27">F96*F97</f>
        <v>743.12691355000004</v>
      </c>
      <c r="G95" s="60">
        <f t="shared" si="27"/>
        <v>775.08137083265001</v>
      </c>
      <c r="H95" s="60">
        <f t="shared" si="27"/>
        <v>808.40986977845387</v>
      </c>
    </row>
    <row r="96" spans="1:12" s="7" customFormat="1" x14ac:dyDescent="0.25">
      <c r="A96" s="10"/>
      <c r="B96" s="45" t="s">
        <v>162</v>
      </c>
      <c r="C96" s="10" t="s">
        <v>163</v>
      </c>
      <c r="D96" s="52"/>
      <c r="E96" s="52">
        <v>1</v>
      </c>
      <c r="F96" s="52">
        <v>1</v>
      </c>
      <c r="G96" s="52">
        <v>1</v>
      </c>
      <c r="H96" s="52">
        <v>1</v>
      </c>
      <c r="I96" s="6"/>
      <c r="J96" s="6"/>
      <c r="K96" s="6"/>
      <c r="L96" s="6"/>
    </row>
    <row r="97" spans="1:12" s="7" customFormat="1" x14ac:dyDescent="0.25">
      <c r="A97" s="5"/>
      <c r="B97" s="45" t="s">
        <v>159</v>
      </c>
      <c r="C97" s="5"/>
      <c r="D97" s="52"/>
      <c r="E97" s="52">
        <f>Trips!B29</f>
        <v>712.48985000000005</v>
      </c>
      <c r="F97" s="52">
        <f>E97*(1+index)</f>
        <v>743.12691355000004</v>
      </c>
      <c r="G97" s="52">
        <f>F97*(1+index)</f>
        <v>775.08137083265001</v>
      </c>
      <c r="H97" s="52">
        <f>G97*(1+index)</f>
        <v>808.40986977845387</v>
      </c>
      <c r="I97" s="6"/>
      <c r="J97" s="6"/>
      <c r="K97" s="6"/>
      <c r="L97" s="6"/>
    </row>
    <row r="99" spans="1:12" hidden="1" x14ac:dyDescent="0.25">
      <c r="A99" s="58"/>
      <c r="B99" s="58" t="s">
        <v>148</v>
      </c>
      <c r="C99" s="58"/>
      <c r="D99" s="60"/>
      <c r="E99" s="60">
        <f>E100*E101+E102*E103</f>
        <v>0</v>
      </c>
      <c r="F99" s="60">
        <f t="shared" ref="F99:H99" si="28">F100*F101+F102*F103</f>
        <v>0</v>
      </c>
      <c r="G99" s="60">
        <f t="shared" si="28"/>
        <v>0</v>
      </c>
      <c r="H99" s="60">
        <f t="shared" si="28"/>
        <v>0</v>
      </c>
    </row>
    <row r="100" spans="1:12" hidden="1" x14ac:dyDescent="0.25">
      <c r="B100" s="45" t="s">
        <v>149</v>
      </c>
      <c r="C100" s="5" t="s">
        <v>150</v>
      </c>
      <c r="F100" s="52">
        <f>Training!$C$31</f>
        <v>81.741000000000014</v>
      </c>
      <c r="G100" s="52">
        <f>Training!$C$31</f>
        <v>81.741000000000014</v>
      </c>
      <c r="H100" s="52">
        <f>Training!$C$31</f>
        <v>81.741000000000014</v>
      </c>
    </row>
    <row r="101" spans="1:12" hidden="1" x14ac:dyDescent="0.25">
      <c r="B101" s="45" t="s">
        <v>151</v>
      </c>
      <c r="F101" s="52">
        <f>F88</f>
        <v>0</v>
      </c>
      <c r="G101" s="52">
        <f t="shared" ref="G101:H101" si="29">G88</f>
        <v>0</v>
      </c>
      <c r="H101" s="52">
        <f t="shared" si="29"/>
        <v>0</v>
      </c>
    </row>
    <row r="102" spans="1:12" hidden="1" x14ac:dyDescent="0.25">
      <c r="B102" s="45" t="s">
        <v>152</v>
      </c>
      <c r="F102" s="52">
        <f>Training!C$22</f>
        <v>709.375</v>
      </c>
      <c r="G102" s="52">
        <f>F102*(1+index)</f>
        <v>739.87812499999995</v>
      </c>
      <c r="H102" s="52">
        <f>G102*(1+index)</f>
        <v>771.69288437499995</v>
      </c>
    </row>
    <row r="103" spans="1:12" hidden="1" x14ac:dyDescent="0.25">
      <c r="B103" s="45" t="s">
        <v>153</v>
      </c>
      <c r="F103" s="52">
        <v>0</v>
      </c>
      <c r="G103" s="44">
        <v>0</v>
      </c>
      <c r="H103" s="44">
        <v>0</v>
      </c>
    </row>
    <row r="104" spans="1:12" hidden="1" x14ac:dyDescent="0.25">
      <c r="B104" s="45"/>
    </row>
    <row r="105" spans="1:12" x14ac:dyDescent="0.25">
      <c r="A105" s="58"/>
      <c r="B105" s="58" t="s">
        <v>24</v>
      </c>
      <c r="C105" s="58"/>
      <c r="D105" s="60"/>
      <c r="E105" s="60">
        <f>E106*E107</f>
        <v>90</v>
      </c>
      <c r="F105" s="60">
        <f t="shared" ref="F105:H105" si="30">F106*F107</f>
        <v>219.02999999999997</v>
      </c>
      <c r="G105" s="60">
        <f t="shared" si="30"/>
        <v>261.08375999999998</v>
      </c>
      <c r="H105" s="60">
        <f t="shared" si="30"/>
        <v>0</v>
      </c>
    </row>
    <row r="106" spans="1:12" s="7" customFormat="1" x14ac:dyDescent="0.25">
      <c r="A106" s="5"/>
      <c r="B106" s="45" t="s">
        <v>54</v>
      </c>
      <c r="C106" s="5"/>
      <c r="D106" s="52"/>
      <c r="E106" s="52">
        <v>15</v>
      </c>
      <c r="F106" s="52">
        <v>35</v>
      </c>
      <c r="G106" s="52">
        <v>40</v>
      </c>
      <c r="H106" s="52">
        <v>0</v>
      </c>
      <c r="I106" s="6"/>
      <c r="J106" s="6"/>
      <c r="K106" s="6"/>
      <c r="L106" s="6"/>
    </row>
    <row r="107" spans="1:12" s="7" customFormat="1" x14ac:dyDescent="0.25">
      <c r="A107" s="5"/>
      <c r="B107" s="45" t="s">
        <v>55</v>
      </c>
      <c r="C107" s="5"/>
      <c r="D107" s="52"/>
      <c r="E107" s="52">
        <f>'Rates and GI'!D30</f>
        <v>6</v>
      </c>
      <c r="F107" s="52">
        <f>E107*(1+index)</f>
        <v>6.2579999999999991</v>
      </c>
      <c r="G107" s="52">
        <f>F107*(1+index)</f>
        <v>6.5270939999999991</v>
      </c>
      <c r="H107" s="52">
        <f>G107*(1+index)</f>
        <v>6.8077590419999989</v>
      </c>
      <c r="I107" s="6"/>
      <c r="J107" s="6"/>
      <c r="K107" s="6"/>
      <c r="L107" s="6"/>
    </row>
    <row r="109" spans="1:12" hidden="1" x14ac:dyDescent="0.25">
      <c r="A109" s="58"/>
      <c r="B109" s="58" t="s">
        <v>7</v>
      </c>
      <c r="C109" s="58"/>
      <c r="D109" s="60"/>
      <c r="E109" s="60"/>
      <c r="F109" s="60"/>
      <c r="G109" s="60"/>
      <c r="H109" s="60"/>
    </row>
    <row r="110" spans="1:12" s="7" customFormat="1" hidden="1" x14ac:dyDescent="0.25">
      <c r="A110" s="5"/>
      <c r="B110" s="4" t="s">
        <v>58</v>
      </c>
      <c r="C110" s="5"/>
      <c r="D110" s="52"/>
      <c r="E110" s="52"/>
      <c r="F110" s="52"/>
      <c r="G110" s="44"/>
      <c r="H110" s="44"/>
      <c r="I110" s="6"/>
      <c r="J110" s="6"/>
      <c r="K110" s="6"/>
      <c r="L110" s="6"/>
    </row>
    <row r="111" spans="1:12" s="51" customFormat="1" hidden="1" x14ac:dyDescent="0.25">
      <c r="A111" s="46"/>
      <c r="B111" s="47" t="s">
        <v>59</v>
      </c>
      <c r="C111" s="46" t="s">
        <v>56</v>
      </c>
      <c r="D111" s="91"/>
      <c r="E111" s="91"/>
      <c r="F111" s="91"/>
      <c r="G111" s="92"/>
      <c r="H111" s="92"/>
      <c r="I111" s="50"/>
      <c r="J111" s="50"/>
      <c r="K111" s="50"/>
      <c r="L111" s="50"/>
    </row>
    <row r="112" spans="1:12" s="46" customFormat="1" hidden="1" x14ac:dyDescent="0.25">
      <c r="B112" s="47" t="s">
        <v>57</v>
      </c>
      <c r="D112" s="91"/>
      <c r="E112" s="91"/>
      <c r="F112" s="91"/>
      <c r="G112" s="92"/>
      <c r="H112" s="92"/>
      <c r="I112" s="50"/>
      <c r="J112" s="50"/>
      <c r="K112" s="50"/>
      <c r="L112" s="50"/>
    </row>
    <row r="113" spans="1:12" s="46" customFormat="1" hidden="1" x14ac:dyDescent="0.25">
      <c r="B113" s="47" t="s">
        <v>60</v>
      </c>
      <c r="D113" s="91"/>
      <c r="E113" s="91"/>
      <c r="F113" s="91"/>
      <c r="G113" s="92"/>
      <c r="H113" s="92"/>
      <c r="I113" s="50"/>
      <c r="J113" s="50"/>
      <c r="K113" s="50"/>
      <c r="L113" s="50"/>
    </row>
    <row r="114" spans="1:12" hidden="1" x14ac:dyDescent="0.25"/>
    <row r="115" spans="1:12" hidden="1" x14ac:dyDescent="0.25">
      <c r="A115" s="58"/>
      <c r="B115" s="58" t="s">
        <v>26</v>
      </c>
      <c r="C115" s="58"/>
      <c r="D115" s="60"/>
      <c r="E115" s="60"/>
      <c r="F115" s="60"/>
      <c r="G115" s="60"/>
      <c r="H115" s="60"/>
    </row>
    <row r="116" spans="1:12" s="5" customFormat="1" hidden="1" x14ac:dyDescent="0.25">
      <c r="B116" s="63" t="s">
        <v>61</v>
      </c>
      <c r="D116" s="52"/>
      <c r="E116" s="52"/>
      <c r="F116" s="52"/>
      <c r="G116" s="44"/>
      <c r="H116" s="44"/>
      <c r="I116" s="6"/>
      <c r="J116" s="6"/>
      <c r="K116" s="6"/>
      <c r="L116" s="6"/>
    </row>
    <row r="117" spans="1:12" s="5" customFormat="1" hidden="1" x14ac:dyDescent="0.25">
      <c r="B117" s="47" t="s">
        <v>166</v>
      </c>
      <c r="D117" s="52"/>
      <c r="E117" s="52"/>
      <c r="F117" s="52"/>
      <c r="G117" s="44"/>
      <c r="H117" s="44"/>
      <c r="I117" s="6"/>
      <c r="J117" s="6"/>
      <c r="K117" s="6"/>
      <c r="L117" s="6"/>
    </row>
    <row r="118" spans="1:12" s="5" customFormat="1" hidden="1" x14ac:dyDescent="0.25">
      <c r="B118" s="47" t="s">
        <v>165</v>
      </c>
      <c r="D118" s="52"/>
      <c r="E118" s="52"/>
      <c r="F118" s="52"/>
      <c r="G118" s="44"/>
      <c r="H118" s="44"/>
      <c r="I118" s="6"/>
      <c r="J118" s="6"/>
      <c r="K118" s="6"/>
      <c r="L118" s="6"/>
    </row>
    <row r="119" spans="1:12" s="5" customFormat="1" hidden="1" x14ac:dyDescent="0.25">
      <c r="B119" s="63" t="s">
        <v>62</v>
      </c>
      <c r="D119" s="52"/>
      <c r="E119" s="52"/>
      <c r="F119" s="52"/>
      <c r="G119" s="44"/>
      <c r="H119" s="44"/>
      <c r="I119" s="6"/>
      <c r="J119" s="6"/>
      <c r="K119" s="6"/>
      <c r="L119" s="6"/>
    </row>
    <row r="120" spans="1:12" s="5" customFormat="1" hidden="1" x14ac:dyDescent="0.25">
      <c r="B120" s="47" t="s">
        <v>166</v>
      </c>
      <c r="D120" s="52"/>
      <c r="E120" s="52"/>
      <c r="F120" s="52"/>
      <c r="G120" s="44"/>
      <c r="H120" s="44"/>
      <c r="I120" s="6"/>
      <c r="J120" s="6"/>
      <c r="K120" s="6"/>
      <c r="L120" s="6"/>
    </row>
    <row r="121" spans="1:12" s="5" customFormat="1" hidden="1" x14ac:dyDescent="0.25">
      <c r="B121" s="47" t="s">
        <v>165</v>
      </c>
      <c r="D121" s="52"/>
      <c r="E121" s="52"/>
      <c r="F121" s="52"/>
      <c r="G121" s="44"/>
      <c r="H121" s="44"/>
      <c r="I121" s="6"/>
      <c r="J121" s="6"/>
      <c r="K121" s="6"/>
      <c r="L121" s="6"/>
    </row>
    <row r="122" spans="1:12" s="5" customFormat="1" hidden="1" x14ac:dyDescent="0.25">
      <c r="B122" s="63" t="s">
        <v>8</v>
      </c>
      <c r="D122" s="52"/>
      <c r="E122" s="52"/>
      <c r="F122" s="52"/>
      <c r="G122" s="44"/>
      <c r="H122" s="44"/>
      <c r="I122" s="6"/>
      <c r="J122" s="6"/>
      <c r="K122" s="6"/>
      <c r="L122" s="6"/>
    </row>
    <row r="123" spans="1:12" s="5" customFormat="1" hidden="1" x14ac:dyDescent="0.25">
      <c r="B123" s="47" t="s">
        <v>166</v>
      </c>
      <c r="D123" s="52"/>
      <c r="E123" s="52"/>
      <c r="F123" s="52"/>
      <c r="G123" s="44"/>
      <c r="H123" s="44"/>
      <c r="I123" s="6"/>
      <c r="J123" s="6"/>
      <c r="K123" s="6"/>
      <c r="L123" s="6"/>
    </row>
    <row r="124" spans="1:12" s="5" customFormat="1" hidden="1" x14ac:dyDescent="0.25">
      <c r="B124" s="47" t="s">
        <v>165</v>
      </c>
      <c r="D124" s="52"/>
      <c r="E124" s="52"/>
      <c r="F124" s="52"/>
      <c r="G124" s="44"/>
      <c r="H124" s="44"/>
      <c r="I124" s="6"/>
      <c r="J124" s="6"/>
      <c r="K124" s="6"/>
      <c r="L124" s="6"/>
    </row>
    <row r="125" spans="1:12" hidden="1" x14ac:dyDescent="0.25"/>
    <row r="126" spans="1:12" hidden="1" x14ac:dyDescent="0.25">
      <c r="A126" s="58"/>
      <c r="B126" s="58" t="s">
        <v>25</v>
      </c>
      <c r="C126" s="58"/>
      <c r="D126" s="60"/>
      <c r="E126" s="60"/>
      <c r="F126" s="60"/>
      <c r="G126" s="60"/>
      <c r="H126" s="60"/>
    </row>
    <row r="127" spans="1:12" s="5" customFormat="1" hidden="1" x14ac:dyDescent="0.25">
      <c r="B127" s="47" t="s">
        <v>64</v>
      </c>
      <c r="D127" s="52"/>
      <c r="E127" s="52"/>
      <c r="F127" s="52"/>
      <c r="G127" s="44"/>
      <c r="H127" s="44"/>
      <c r="I127" s="6"/>
      <c r="J127" s="6"/>
      <c r="K127" s="6"/>
      <c r="L127" s="6"/>
    </row>
    <row r="128" spans="1:12" s="5" customFormat="1" hidden="1" x14ac:dyDescent="0.25">
      <c r="B128" s="47" t="s">
        <v>63</v>
      </c>
      <c r="D128" s="52"/>
      <c r="E128" s="52"/>
      <c r="F128" s="52"/>
      <c r="G128" s="44"/>
      <c r="H128" s="44"/>
      <c r="I128" s="6"/>
      <c r="J128" s="6"/>
      <c r="K128" s="6"/>
      <c r="L128" s="6"/>
    </row>
    <row r="129" spans="1:12" s="5" customFormat="1" hidden="1" x14ac:dyDescent="0.25">
      <c r="B129" s="47" t="s">
        <v>65</v>
      </c>
      <c r="D129" s="52"/>
      <c r="E129" s="52"/>
      <c r="F129" s="52"/>
      <c r="G129" s="44"/>
      <c r="H129" s="44"/>
      <c r="I129" s="6"/>
      <c r="J129" s="6"/>
      <c r="K129" s="6"/>
      <c r="L129" s="6"/>
    </row>
    <row r="130" spans="1:12" x14ac:dyDescent="0.25">
      <c r="A130" s="58"/>
      <c r="B130" s="58" t="s">
        <v>21</v>
      </c>
      <c r="C130" s="58"/>
      <c r="D130" s="60"/>
      <c r="E130" s="60">
        <f>E131*E132+E133*E134+E135*E136</f>
        <v>50</v>
      </c>
      <c r="F130" s="60">
        <f t="shared" ref="F130:H130" si="31">F131*F132+F133*F134+F135*F136</f>
        <v>100</v>
      </c>
      <c r="G130" s="60">
        <f t="shared" si="31"/>
        <v>250</v>
      </c>
      <c r="H130" s="60">
        <f t="shared" si="31"/>
        <v>0</v>
      </c>
    </row>
    <row r="131" spans="1:12" hidden="1" x14ac:dyDescent="0.25">
      <c r="B131" s="47" t="s">
        <v>169</v>
      </c>
      <c r="G131" s="52"/>
      <c r="H131" s="52"/>
    </row>
    <row r="132" spans="1:12" hidden="1" x14ac:dyDescent="0.25">
      <c r="B132" s="47" t="s">
        <v>170</v>
      </c>
      <c r="G132" s="52"/>
      <c r="H132" s="52"/>
    </row>
    <row r="133" spans="1:12" hidden="1" x14ac:dyDescent="0.25">
      <c r="B133" s="47" t="s">
        <v>167</v>
      </c>
      <c r="G133" s="52"/>
      <c r="H133" s="52"/>
    </row>
    <row r="134" spans="1:12" hidden="1" x14ac:dyDescent="0.25">
      <c r="B134" s="47" t="s">
        <v>168</v>
      </c>
      <c r="G134" s="52"/>
      <c r="H134" s="52"/>
    </row>
    <row r="135" spans="1:12" s="5" customFormat="1" x14ac:dyDescent="0.25">
      <c r="B135" s="47" t="s">
        <v>354</v>
      </c>
      <c r="D135" s="52"/>
      <c r="E135" s="52">
        <v>1</v>
      </c>
      <c r="F135" s="52">
        <v>2</v>
      </c>
      <c r="G135" s="44">
        <v>5</v>
      </c>
      <c r="H135" s="44"/>
      <c r="I135" s="6"/>
      <c r="J135" s="6"/>
      <c r="K135" s="6"/>
      <c r="L135" s="6"/>
    </row>
    <row r="136" spans="1:12" s="5" customFormat="1" x14ac:dyDescent="0.25">
      <c r="B136" s="47" t="s">
        <v>349</v>
      </c>
      <c r="D136" s="52"/>
      <c r="E136" s="52">
        <f>'Rates and GI'!$D$72</f>
        <v>50</v>
      </c>
      <c r="F136" s="52">
        <f>'Rates and GI'!$D$72</f>
        <v>50</v>
      </c>
      <c r="G136" s="52">
        <f>'Rates and GI'!$D$72</f>
        <v>50</v>
      </c>
      <c r="H136" s="52">
        <f>'Rates and GI'!$D$72</f>
        <v>50</v>
      </c>
      <c r="I136" s="6"/>
      <c r="J136" s="6"/>
      <c r="K136" s="6"/>
      <c r="L136" s="6"/>
    </row>
    <row r="137" spans="1:12" x14ac:dyDescent="0.25">
      <c r="A137" s="58"/>
      <c r="B137" s="58"/>
      <c r="C137" s="58"/>
      <c r="D137" s="60"/>
      <c r="E137" s="60"/>
      <c r="F137" s="60"/>
      <c r="G137" s="60"/>
      <c r="H137" s="60"/>
    </row>
  </sheetData>
  <pageMargins left="0.7" right="0.7" top="0.75" bottom="0.75" header="0.3" footer="0.3"/>
  <pageSetup paperSize="9" scale="5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11</vt:i4>
      </vt:variant>
    </vt:vector>
  </HeadingPairs>
  <TitlesOfParts>
    <vt:vector size="49" baseType="lpstr">
      <vt:lpstr>Summary</vt:lpstr>
      <vt:lpstr>1n</vt:lpstr>
      <vt:lpstr>2n</vt:lpstr>
      <vt:lpstr>3n</vt:lpstr>
      <vt:lpstr>4n</vt:lpstr>
      <vt:lpstr>5n</vt:lpstr>
      <vt:lpstr>7n</vt:lpstr>
      <vt:lpstr>8n</vt:lpstr>
      <vt:lpstr>9n</vt:lpstr>
      <vt:lpstr>11n</vt:lpstr>
      <vt:lpstr>12n</vt:lpstr>
      <vt:lpstr>16n</vt:lpstr>
      <vt:lpstr>17n</vt:lpstr>
      <vt:lpstr>19n</vt:lpstr>
      <vt:lpstr>20n</vt:lpstr>
      <vt:lpstr>21n</vt:lpstr>
      <vt:lpstr>22n</vt:lpstr>
      <vt:lpstr>24n</vt:lpstr>
      <vt:lpstr>26n</vt:lpstr>
      <vt:lpstr>27n</vt:lpstr>
      <vt:lpstr>28n</vt:lpstr>
      <vt:lpstr>29n</vt:lpstr>
      <vt:lpstr>30n</vt:lpstr>
      <vt:lpstr>34n</vt:lpstr>
      <vt:lpstr>36n</vt:lpstr>
      <vt:lpstr>37n</vt:lpstr>
      <vt:lpstr>42n</vt:lpstr>
      <vt:lpstr>43n</vt:lpstr>
      <vt:lpstr>44n</vt:lpstr>
      <vt:lpstr>45n</vt:lpstr>
      <vt:lpstr>46n</vt:lpstr>
      <vt:lpstr>47n</vt:lpstr>
      <vt:lpstr>48n</vt:lpstr>
      <vt:lpstr>Rates and GI</vt:lpstr>
      <vt:lpstr>Soft</vt:lpstr>
      <vt:lpstr>Trips</vt:lpstr>
      <vt:lpstr>Training</vt:lpstr>
      <vt:lpstr>New building</vt:lpstr>
      <vt:lpstr>eur</vt:lpstr>
      <vt:lpstr>index</vt:lpstr>
      <vt:lpstr>'1n'!Print_Area</vt:lpstr>
      <vt:lpstr>'3n'!Print_Area</vt:lpstr>
      <vt:lpstr>'4n'!Print_Area</vt:lpstr>
      <vt:lpstr>'7n'!Print_Area</vt:lpstr>
      <vt:lpstr>'New building'!Print_Area</vt:lpstr>
      <vt:lpstr>Soft!Print_Area</vt:lpstr>
      <vt:lpstr>Summary!Print_Titles</vt:lpstr>
      <vt:lpstr>start</vt:lpstr>
      <vt:lpstr>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https:/mul2.gov.am/tasks/132867/oneclick/voroshumMK-728.3.xlsx?token=c54b74998786abda823cb1a31797a67b</cp:keywords>
  <cp:lastModifiedBy/>
  <dcterms:created xsi:type="dcterms:W3CDTF">2015-06-05T18:17:20Z</dcterms:created>
  <dcterms:modified xsi:type="dcterms:W3CDTF">2019-10-09T11:42:35Z</dcterms:modified>
</cp:coreProperties>
</file>